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90" windowWidth="18135" windowHeight="8910"/>
  </bookViews>
  <sheets>
    <sheet name="Notes" sheetId="7" r:id="rId1"/>
    <sheet name="Summary" sheetId="4" r:id="rId2"/>
    <sheet name="Traffic" sheetId="13" r:id="rId3"/>
    <sheet name="Opex" sheetId="10" r:id="rId4"/>
    <sheet name="Opening RAB" sheetId="6" r:id="rId5"/>
    <sheet name="Future capex and depreciation" sheetId="8" r:id="rId6"/>
    <sheet name="IAA submission" sheetId="11" r:id="rId7"/>
    <sheet name="CPI" sheetId="9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CPI2001">[1]CARcpi!$O$7</definedName>
    <definedName name="_CPI2002">[1]CARcpi!$P$7</definedName>
    <definedName name="_CPI2003">[1]CARcpi!$Q$7</definedName>
    <definedName name="_CPI2004">[1]CARcpi!$R$7</definedName>
    <definedName name="_CPI2005">[1]CARcpi!$S$7</definedName>
    <definedName name="_CPI2006">[1]CARcpi!$T$7</definedName>
    <definedName name="ARIPL">#REF!</definedName>
    <definedName name="ByActivity">#REF!</definedName>
    <definedName name="ByAirport">#REF!</definedName>
    <definedName name="CAPEX">#REF!</definedName>
    <definedName name="CoPL">#REF!</definedName>
    <definedName name="CPI6m2001">[2]CPI!$P$35</definedName>
    <definedName name="CPIbase">[1]Controls!$D$11</definedName>
    <definedName name="CPIbaseA">[1]Controls!$B$11</definedName>
    <definedName name="CPIbaseQ">[1]Controls!$E$2:$E$8</definedName>
    <definedName name="EuroXIR">[3]reference!$E$4</definedName>
    <definedName name="ExpGrps">'[4]L - Prime Accounts'!$A$1:$F$45</definedName>
    <definedName name="GrpBL">#REF!</definedName>
    <definedName name="GrpCF">#REF!</definedName>
    <definedName name="GrpPL">#REF!</definedName>
    <definedName name="GSHPL">#REF!</definedName>
    <definedName name="inputA">[5]controls!$A$10</definedName>
    <definedName name="inputQ">[5]controls!$A$2:$A$3</definedName>
    <definedName name="OperisTopLeft">#REF!</definedName>
    <definedName name="opex">#REF!</definedName>
    <definedName name="Ratios">#REF!</definedName>
    <definedName name="Traffic">#REF!</definedName>
  </definedNames>
  <calcPr calcId="144525"/>
</workbook>
</file>

<file path=xl/calcChain.xml><?xml version="1.0" encoding="utf-8"?>
<calcChain xmlns="http://schemas.openxmlformats.org/spreadsheetml/2006/main">
  <c r="BG96" i="8" l="1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I96" i="8"/>
  <c r="AH96" i="8"/>
  <c r="AG96" i="8"/>
  <c r="AF96" i="8"/>
  <c r="AE96" i="8"/>
  <c r="E32" i="4" l="1"/>
  <c r="F32" i="4"/>
  <c r="G32" i="4"/>
  <c r="H32" i="4"/>
  <c r="I32" i="4"/>
  <c r="E27" i="4"/>
  <c r="F11" i="10" l="1"/>
  <c r="J11" i="10"/>
  <c r="I11" i="10"/>
  <c r="H11" i="10"/>
  <c r="J10" i="10"/>
  <c r="I10" i="10"/>
  <c r="H10" i="10"/>
  <c r="G11" i="10"/>
  <c r="G10" i="10"/>
  <c r="C104" i="8"/>
  <c r="BF81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D105" i="8"/>
  <c r="C105" i="8"/>
  <c r="E100" i="8"/>
  <c r="K94" i="8"/>
  <c r="L94" i="8" s="1"/>
  <c r="M94" i="8" s="1"/>
  <c r="N94" i="8" s="1"/>
  <c r="O94" i="8" s="1"/>
  <c r="P94" i="8" s="1"/>
  <c r="Q94" i="8" s="1"/>
  <c r="R94" i="8" s="1"/>
  <c r="F6" i="8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W6" i="8" s="1"/>
  <c r="F39" i="8"/>
  <c r="G39" i="8" s="1"/>
  <c r="I39" i="8"/>
  <c r="J71" i="8"/>
  <c r="C10" i="6"/>
  <c r="I91" i="6"/>
  <c r="H80" i="6"/>
  <c r="E80" i="6"/>
  <c r="D76" i="6"/>
  <c r="D77" i="6" s="1"/>
  <c r="G91" i="6" s="1"/>
  <c r="I72" i="6"/>
  <c r="F64" i="6"/>
  <c r="D81" i="6" s="1"/>
  <c r="E64" i="6"/>
  <c r="L95" i="11"/>
  <c r="L94" i="11"/>
  <c r="C53" i="6"/>
  <c r="C54" i="6" s="1"/>
  <c r="D50" i="10"/>
  <c r="J51" i="10"/>
  <c r="J22" i="10"/>
  <c r="I22" i="10"/>
  <c r="H22" i="10"/>
  <c r="G22" i="10"/>
  <c r="J21" i="10"/>
  <c r="I21" i="10"/>
  <c r="H21" i="10"/>
  <c r="G21" i="10"/>
  <c r="J20" i="10"/>
  <c r="I20" i="10"/>
  <c r="H20" i="10"/>
  <c r="G20" i="10"/>
  <c r="J19" i="10"/>
  <c r="I19" i="10"/>
  <c r="H19" i="10"/>
  <c r="G19" i="10"/>
  <c r="J18" i="10"/>
  <c r="I18" i="10"/>
  <c r="H18" i="10"/>
  <c r="G18" i="10"/>
  <c r="J17" i="10"/>
  <c r="I17" i="10"/>
  <c r="H17" i="10"/>
  <c r="G17" i="10"/>
  <c r="J16" i="10"/>
  <c r="I16" i="10"/>
  <c r="H16" i="10"/>
  <c r="G16" i="10"/>
  <c r="J15" i="10"/>
  <c r="I15" i="10"/>
  <c r="H15" i="10"/>
  <c r="G15" i="10"/>
  <c r="J14" i="10"/>
  <c r="I14" i="10"/>
  <c r="H14" i="10"/>
  <c r="G14" i="10"/>
  <c r="G23" i="10" s="1"/>
  <c r="F22" i="10"/>
  <c r="F21" i="10"/>
  <c r="F20" i="10"/>
  <c r="F19" i="10"/>
  <c r="F18" i="10"/>
  <c r="F17" i="10"/>
  <c r="F16" i="10"/>
  <c r="F15" i="10"/>
  <c r="E22" i="10"/>
  <c r="E21" i="10"/>
  <c r="E20" i="10"/>
  <c r="E19" i="10"/>
  <c r="E18" i="10"/>
  <c r="E17" i="10"/>
  <c r="E16" i="10"/>
  <c r="E15" i="10"/>
  <c r="F14" i="10"/>
  <c r="E14" i="10"/>
  <c r="E11" i="10"/>
  <c r="F10" i="10"/>
  <c r="F12" i="10" s="1"/>
  <c r="E10" i="10"/>
  <c r="J65" i="8"/>
  <c r="E12" i="10"/>
  <c r="K73" i="8"/>
  <c r="L73" i="8" s="1"/>
  <c r="M73" i="8" s="1"/>
  <c r="N73" i="8" s="1"/>
  <c r="O73" i="8" s="1"/>
  <c r="P73" i="8" s="1"/>
  <c r="Q73" i="8" s="1"/>
  <c r="R73" i="8" s="1"/>
  <c r="S73" i="8" s="1"/>
  <c r="T73" i="8" s="1"/>
  <c r="U73" i="8" s="1"/>
  <c r="V73" i="8" s="1"/>
  <c r="W73" i="8" s="1"/>
  <c r="X73" i="8" s="1"/>
  <c r="Y73" i="8" s="1"/>
  <c r="Z73" i="8" s="1"/>
  <c r="BE86" i="8"/>
  <c r="K77" i="8"/>
  <c r="L77" i="8" s="1"/>
  <c r="B71" i="8"/>
  <c r="J88" i="8" s="1"/>
  <c r="K88" i="8" s="1"/>
  <c r="L88" i="8" s="1"/>
  <c r="M88" i="8" s="1"/>
  <c r="N88" i="8" s="1"/>
  <c r="O88" i="8" s="1"/>
  <c r="P88" i="8" s="1"/>
  <c r="Q88" i="8" s="1"/>
  <c r="R88" i="8" s="1"/>
  <c r="S88" i="8" s="1"/>
  <c r="T88" i="8" s="1"/>
  <c r="U88" i="8" s="1"/>
  <c r="V88" i="8" s="1"/>
  <c r="W88" i="8" s="1"/>
  <c r="X88" i="8" s="1"/>
  <c r="Y88" i="8" s="1"/>
  <c r="Z88" i="8" s="1"/>
  <c r="AA88" i="8" s="1"/>
  <c r="AB88" i="8" s="1"/>
  <c r="AC88" i="8" s="1"/>
  <c r="AD88" i="8" s="1"/>
  <c r="AE88" i="8" s="1"/>
  <c r="AF88" i="8" s="1"/>
  <c r="AG88" i="8" s="1"/>
  <c r="AH88" i="8" s="1"/>
  <c r="AI88" i="8" s="1"/>
  <c r="AJ88" i="8" s="1"/>
  <c r="AK88" i="8" s="1"/>
  <c r="AL88" i="8" s="1"/>
  <c r="AM88" i="8" s="1"/>
  <c r="AN88" i="8" s="1"/>
  <c r="AO88" i="8" s="1"/>
  <c r="AP88" i="8" s="1"/>
  <c r="AQ88" i="8" s="1"/>
  <c r="AR88" i="8" s="1"/>
  <c r="AS88" i="8" s="1"/>
  <c r="AT88" i="8" s="1"/>
  <c r="AU88" i="8" s="1"/>
  <c r="AV88" i="8" s="1"/>
  <c r="AW88" i="8" s="1"/>
  <c r="AX88" i="8" s="1"/>
  <c r="AY88" i="8" s="1"/>
  <c r="AZ88" i="8" s="1"/>
  <c r="BA88" i="8" s="1"/>
  <c r="BB88" i="8" s="1"/>
  <c r="BC88" i="8" s="1"/>
  <c r="BD88" i="8" s="1"/>
  <c r="BE88" i="8" s="1"/>
  <c r="BF88" i="8" s="1"/>
  <c r="K71" i="8"/>
  <c r="L71" i="8" s="1"/>
  <c r="M71" i="8" s="1"/>
  <c r="N71" i="8" s="1"/>
  <c r="O71" i="8" s="1"/>
  <c r="P71" i="8" s="1"/>
  <c r="Q71" i="8" s="1"/>
  <c r="R71" i="8" s="1"/>
  <c r="S71" i="8" s="1"/>
  <c r="T71" i="8" s="1"/>
  <c r="U71" i="8" s="1"/>
  <c r="V71" i="8" s="1"/>
  <c r="W71" i="8" s="1"/>
  <c r="X71" i="8" s="1"/>
  <c r="Y71" i="8" s="1"/>
  <c r="Z71" i="8" s="1"/>
  <c r="AA71" i="8" s="1"/>
  <c r="AB71" i="8" s="1"/>
  <c r="AC71" i="8" s="1"/>
  <c r="AD71" i="8" s="1"/>
  <c r="F28" i="10"/>
  <c r="G28" i="10" s="1"/>
  <c r="H28" i="10" s="1"/>
  <c r="I28" i="10" s="1"/>
  <c r="J28" i="10" s="1"/>
  <c r="J23" i="10"/>
  <c r="H23" i="10"/>
  <c r="F23" i="10"/>
  <c r="F25" i="10" s="1"/>
  <c r="E23" i="10"/>
  <c r="E25" i="10" s="1"/>
  <c r="I23" i="10"/>
  <c r="K64" i="8"/>
  <c r="K65" i="8" s="1"/>
  <c r="I84" i="11"/>
  <c r="I34" i="4"/>
  <c r="H34" i="4"/>
  <c r="G34" i="4"/>
  <c r="F34" i="4"/>
  <c r="E34" i="4"/>
  <c r="I33" i="4"/>
  <c r="H33" i="4"/>
  <c r="G33" i="4"/>
  <c r="F33" i="4"/>
  <c r="E33" i="4"/>
  <c r="I27" i="4"/>
  <c r="H27" i="4"/>
  <c r="G27" i="4"/>
  <c r="F27" i="4"/>
  <c r="E14" i="9"/>
  <c r="E13" i="9"/>
  <c r="G8" i="8" s="1"/>
  <c r="E12" i="9"/>
  <c r="F8" i="8" s="1"/>
  <c r="E11" i="9"/>
  <c r="E10" i="9"/>
  <c r="D32" i="6" s="1"/>
  <c r="D8" i="8"/>
  <c r="E9" i="9"/>
  <c r="E8" i="9"/>
  <c r="E7" i="9"/>
  <c r="E6" i="9"/>
  <c r="E5" i="9"/>
  <c r="E4" i="9"/>
  <c r="C15" i="9"/>
  <c r="C14" i="4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L21" i="8" s="1"/>
  <c r="K14" i="8"/>
  <c r="M13" i="8"/>
  <c r="L13" i="8"/>
  <c r="K13" i="8"/>
  <c r="J20" i="8"/>
  <c r="J19" i="8"/>
  <c r="J18" i="8"/>
  <c r="J17" i="8"/>
  <c r="J16" i="8"/>
  <c r="J15" i="8"/>
  <c r="J14" i="8"/>
  <c r="J13" i="8"/>
  <c r="D54" i="6"/>
  <c r="K55" i="8"/>
  <c r="L55" i="8" s="1"/>
  <c r="M55" i="8" s="1"/>
  <c r="N55" i="8" s="1"/>
  <c r="O55" i="8" s="1"/>
  <c r="P55" i="8" s="1"/>
  <c r="Q55" i="8" s="1"/>
  <c r="R55" i="8" s="1"/>
  <c r="S55" i="8" s="1"/>
  <c r="T55" i="8" s="1"/>
  <c r="U55" i="8" s="1"/>
  <c r="V55" i="8" s="1"/>
  <c r="W55" i="8" s="1"/>
  <c r="X55" i="8" s="1"/>
  <c r="Y55" i="8" s="1"/>
  <c r="Z55" i="8" s="1"/>
  <c r="AA55" i="8" s="1"/>
  <c r="AB55" i="8" s="1"/>
  <c r="AC55" i="8" s="1"/>
  <c r="AD55" i="8" s="1"/>
  <c r="AE55" i="8" s="1"/>
  <c r="AF55" i="8" s="1"/>
  <c r="AG55" i="8" s="1"/>
  <c r="AH55" i="8" s="1"/>
  <c r="AI55" i="8" s="1"/>
  <c r="AJ55" i="8" s="1"/>
  <c r="AK55" i="8" s="1"/>
  <c r="AL55" i="8" s="1"/>
  <c r="AM55" i="8" s="1"/>
  <c r="AN55" i="8" s="1"/>
  <c r="AO55" i="8" s="1"/>
  <c r="AP55" i="8" s="1"/>
  <c r="AQ55" i="8" s="1"/>
  <c r="AR55" i="8" s="1"/>
  <c r="AS55" i="8" s="1"/>
  <c r="AT55" i="8" s="1"/>
  <c r="AU55" i="8" s="1"/>
  <c r="AV55" i="8" s="1"/>
  <c r="AW55" i="8" s="1"/>
  <c r="AX55" i="8" s="1"/>
  <c r="AY55" i="8" s="1"/>
  <c r="AZ55" i="8" s="1"/>
  <c r="BA55" i="8" s="1"/>
  <c r="BB55" i="8" s="1"/>
  <c r="BC55" i="8" s="1"/>
  <c r="BD55" i="8" s="1"/>
  <c r="BE55" i="8" s="1"/>
  <c r="BF55" i="8" s="1"/>
  <c r="BG55" i="8" s="1"/>
  <c r="I13" i="4"/>
  <c r="I14" i="4" s="1"/>
  <c r="H13" i="4"/>
  <c r="H14" i="4" s="1"/>
  <c r="G13" i="4"/>
  <c r="G14" i="4" s="1"/>
  <c r="F13" i="4"/>
  <c r="F14" i="4" s="1"/>
  <c r="V50" i="8"/>
  <c r="U50" i="8"/>
  <c r="T50" i="8"/>
  <c r="S50" i="8"/>
  <c r="V48" i="8"/>
  <c r="U48" i="8"/>
  <c r="T48" i="8"/>
  <c r="S48" i="8"/>
  <c r="R48" i="8"/>
  <c r="Q48" i="8"/>
  <c r="F80" i="6"/>
  <c r="I80" i="6"/>
  <c r="G114" i="11"/>
  <c r="F114" i="11"/>
  <c r="E114" i="11"/>
  <c r="D114" i="11"/>
  <c r="C114" i="11"/>
  <c r="H113" i="11"/>
  <c r="H112" i="11"/>
  <c r="H111" i="11"/>
  <c r="H110" i="11"/>
  <c r="H109" i="11"/>
  <c r="H108" i="11"/>
  <c r="H107" i="11"/>
  <c r="H106" i="11"/>
  <c r="H105" i="11"/>
  <c r="H104" i="11"/>
  <c r="I96" i="11"/>
  <c r="G96" i="11"/>
  <c r="F96" i="11"/>
  <c r="E96" i="11"/>
  <c r="D96" i="11"/>
  <c r="C96" i="11"/>
  <c r="H95" i="11"/>
  <c r="H94" i="11"/>
  <c r="H93" i="11"/>
  <c r="H92" i="11"/>
  <c r="H96" i="11"/>
  <c r="G82" i="11"/>
  <c r="G84" i="11"/>
  <c r="I45" i="6" s="1"/>
  <c r="F82" i="11"/>
  <c r="F84" i="11"/>
  <c r="H45" i="6" s="1"/>
  <c r="E82" i="11"/>
  <c r="E84" i="11" s="1"/>
  <c r="D82" i="11"/>
  <c r="D84" i="11" s="1"/>
  <c r="F45" i="6" s="1"/>
  <c r="C82" i="11"/>
  <c r="C84" i="11" s="1"/>
  <c r="E45" i="6" s="1"/>
  <c r="H81" i="11"/>
  <c r="H80" i="11"/>
  <c r="H79" i="11"/>
  <c r="H78" i="11"/>
  <c r="H77" i="11"/>
  <c r="H76" i="11"/>
  <c r="H75" i="11"/>
  <c r="H74" i="11"/>
  <c r="H73" i="11"/>
  <c r="H72" i="11"/>
  <c r="H71" i="11"/>
  <c r="C17" i="11"/>
  <c r="D17" i="11"/>
  <c r="E17" i="11"/>
  <c r="F17" i="11"/>
  <c r="G17" i="11"/>
  <c r="C29" i="11"/>
  <c r="D29" i="11"/>
  <c r="E29" i="11"/>
  <c r="E34" i="11"/>
  <c r="F29" i="11"/>
  <c r="G29" i="11"/>
  <c r="C44" i="11"/>
  <c r="D44" i="11"/>
  <c r="E44" i="11"/>
  <c r="F44" i="11"/>
  <c r="G44" i="11"/>
  <c r="C56" i="11"/>
  <c r="D56" i="11"/>
  <c r="E56" i="11"/>
  <c r="F56" i="11"/>
  <c r="F61" i="11"/>
  <c r="G56" i="11"/>
  <c r="G61" i="11"/>
  <c r="G4" i="4"/>
  <c r="H4" i="4" s="1"/>
  <c r="I4" i="4" s="1"/>
  <c r="V47" i="8"/>
  <c r="V49" i="8"/>
  <c r="V44" i="8"/>
  <c r="V51" i="8" s="1"/>
  <c r="V45" i="8"/>
  <c r="V46" i="8"/>
  <c r="V43" i="8"/>
  <c r="J21" i="8"/>
  <c r="C16" i="9"/>
  <c r="E16" i="9" s="1"/>
  <c r="E15" i="9"/>
  <c r="C17" i="9"/>
  <c r="C18" i="9" s="1"/>
  <c r="C61" i="11"/>
  <c r="F34" i="11"/>
  <c r="G34" i="11"/>
  <c r="E17" i="9"/>
  <c r="H6" i="10" s="1"/>
  <c r="H41" i="10" s="1"/>
  <c r="H73" i="10" s="1"/>
  <c r="I34" i="6"/>
  <c r="F34" i="6"/>
  <c r="H34" i="6"/>
  <c r="E34" i="6"/>
  <c r="L64" i="8"/>
  <c r="L65" i="8" s="1"/>
  <c r="J39" i="8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V39" i="8" s="1"/>
  <c r="W39" i="8" s="1"/>
  <c r="G80" i="6"/>
  <c r="J12" i="10"/>
  <c r="J25" i="10" s="1"/>
  <c r="I12" i="10"/>
  <c r="G12" i="10"/>
  <c r="H12" i="10"/>
  <c r="H25" i="10" s="1"/>
  <c r="J80" i="6"/>
  <c r="E33" i="6"/>
  <c r="E44" i="6" s="1"/>
  <c r="C5" i="6" s="1"/>
  <c r="E35" i="6"/>
  <c r="E24" i="6"/>
  <c r="F21" i="6"/>
  <c r="E29" i="6"/>
  <c r="E36" i="6"/>
  <c r="F33" i="6" s="1"/>
  <c r="F36" i="6" s="1"/>
  <c r="G33" i="6" s="1"/>
  <c r="G36" i="6" s="1"/>
  <c r="H33" i="6" s="1"/>
  <c r="H36" i="6" s="1"/>
  <c r="I33" i="6" s="1"/>
  <c r="I36" i="6" s="1"/>
  <c r="E101" i="8"/>
  <c r="E102" i="8" s="1"/>
  <c r="BG88" i="8"/>
  <c r="BG83" i="8"/>
  <c r="M77" i="8"/>
  <c r="N77" i="8" s="1"/>
  <c r="O77" i="8" s="1"/>
  <c r="P77" i="8" s="1"/>
  <c r="Q77" i="8" s="1"/>
  <c r="R77" i="8" s="1"/>
  <c r="S77" i="8" s="1"/>
  <c r="T77" i="8" s="1"/>
  <c r="U77" i="8" s="1"/>
  <c r="V77" i="8" s="1"/>
  <c r="W77" i="8" s="1"/>
  <c r="X77" i="8" s="1"/>
  <c r="Y77" i="8" s="1"/>
  <c r="Z77" i="8" s="1"/>
  <c r="AA77" i="8" s="1"/>
  <c r="AB77" i="8" s="1"/>
  <c r="AC77" i="8" s="1"/>
  <c r="AD77" i="8" s="1"/>
  <c r="AE77" i="8" s="1"/>
  <c r="AF77" i="8" s="1"/>
  <c r="AG77" i="8" s="1"/>
  <c r="AH77" i="8" s="1"/>
  <c r="AI77" i="8" s="1"/>
  <c r="AJ77" i="8" s="1"/>
  <c r="AK77" i="8" s="1"/>
  <c r="AL77" i="8" s="1"/>
  <c r="AM77" i="8" s="1"/>
  <c r="AN77" i="8" s="1"/>
  <c r="AO77" i="8" s="1"/>
  <c r="AP77" i="8" s="1"/>
  <c r="AQ77" i="8" s="1"/>
  <c r="AR77" i="8" s="1"/>
  <c r="AS77" i="8" s="1"/>
  <c r="AT77" i="8" s="1"/>
  <c r="AU77" i="8" s="1"/>
  <c r="AV77" i="8" s="1"/>
  <c r="AW77" i="8" s="1"/>
  <c r="AX77" i="8" s="1"/>
  <c r="AY77" i="8" s="1"/>
  <c r="AZ77" i="8" s="1"/>
  <c r="BA77" i="8" s="1"/>
  <c r="BB77" i="8" s="1"/>
  <c r="BC77" i="8" s="1"/>
  <c r="BD77" i="8" s="1"/>
  <c r="BE77" i="8" s="1"/>
  <c r="BF77" i="8" s="1"/>
  <c r="BG77" i="8" s="1"/>
  <c r="G34" i="6"/>
  <c r="BG82" i="8"/>
  <c r="BG81" i="8" s="1"/>
  <c r="BF86" i="8"/>
  <c r="BF84" i="8" s="1"/>
  <c r="BG84" i="8"/>
  <c r="BG85" i="8" s="1"/>
  <c r="BF85" i="8" s="1"/>
  <c r="E28" i="6"/>
  <c r="E37" i="6" s="1"/>
  <c r="F28" i="6"/>
  <c r="F37" i="6" s="1"/>
  <c r="F24" i="6"/>
  <c r="G21" i="6" s="1"/>
  <c r="G24" i="6" s="1"/>
  <c r="H21" i="6" s="1"/>
  <c r="H24" i="6" s="1"/>
  <c r="I21" i="6" s="1"/>
  <c r="I24" i="6" s="1"/>
  <c r="F35" i="6"/>
  <c r="G35" i="6"/>
  <c r="G28" i="6"/>
  <c r="G37" i="6" s="1"/>
  <c r="H35" i="6"/>
  <c r="H28" i="6"/>
  <c r="H37" i="6" s="1"/>
  <c r="I35" i="6"/>
  <c r="I28" i="6"/>
  <c r="I37" i="6" s="1"/>
  <c r="G6" i="10" l="1"/>
  <c r="G42" i="10" s="1"/>
  <c r="G74" i="10" s="1"/>
  <c r="J8" i="8"/>
  <c r="E46" i="6"/>
  <c r="A45" i="6"/>
  <c r="C19" i="9"/>
  <c r="E19" i="9" s="1"/>
  <c r="E18" i="9"/>
  <c r="J28" i="8"/>
  <c r="J45" i="8" s="1"/>
  <c r="H81" i="6"/>
  <c r="H88" i="6" s="1"/>
  <c r="G81" i="6"/>
  <c r="G88" i="6" s="1"/>
  <c r="I81" i="6"/>
  <c r="I88" i="6" s="1"/>
  <c r="G25" i="10"/>
  <c r="I25" i="10"/>
  <c r="M64" i="8"/>
  <c r="N64" i="8" s="1"/>
  <c r="K8" i="8"/>
  <c r="D61" i="11"/>
  <c r="E61" i="11"/>
  <c r="C34" i="11"/>
  <c r="D34" i="11"/>
  <c r="H82" i="11"/>
  <c r="H84" i="11" s="1"/>
  <c r="G45" i="6"/>
  <c r="H114" i="11"/>
  <c r="F66" i="6"/>
  <c r="F67" i="6" s="1"/>
  <c r="G85" i="6" s="1"/>
  <c r="G86" i="6" s="1"/>
  <c r="G89" i="6" s="1"/>
  <c r="H84" i="6" s="1"/>
  <c r="H86" i="6" s="1"/>
  <c r="AE71" i="8"/>
  <c r="AF71" i="8" s="1"/>
  <c r="BG86" i="8"/>
  <c r="A86" i="8" s="1"/>
  <c r="M65" i="8"/>
  <c r="J31" i="8"/>
  <c r="J48" i="8" s="1"/>
  <c r="K21" i="8"/>
  <c r="M21" i="8"/>
  <c r="J30" i="8"/>
  <c r="K30" i="8"/>
  <c r="K47" i="8" s="1"/>
  <c r="K27" i="8"/>
  <c r="O64" i="8"/>
  <c r="O65" i="8" s="1"/>
  <c r="N65" i="8"/>
  <c r="J47" i="8"/>
  <c r="J29" i="8"/>
  <c r="J33" i="8"/>
  <c r="E47" i="6"/>
  <c r="BF83" i="8"/>
  <c r="BF79" i="8"/>
  <c r="BE85" i="8"/>
  <c r="BG79" i="8"/>
  <c r="P64" i="8"/>
  <c r="K31" i="8"/>
  <c r="K28" i="8"/>
  <c r="J6" i="10"/>
  <c r="M8" i="8"/>
  <c r="C6" i="6"/>
  <c r="J32" i="8"/>
  <c r="I8" i="8"/>
  <c r="F6" i="10"/>
  <c r="H8" i="8"/>
  <c r="E6" i="10"/>
  <c r="H30" i="10"/>
  <c r="H31" i="10"/>
  <c r="G34" i="10"/>
  <c r="G35" i="10"/>
  <c r="G67" i="10" s="1"/>
  <c r="H35" i="10"/>
  <c r="H67" i="10" s="1"/>
  <c r="G36" i="10"/>
  <c r="G68" i="10" s="1"/>
  <c r="H36" i="10"/>
  <c r="H68" i="10" s="1"/>
  <c r="G37" i="10"/>
  <c r="G69" i="10" s="1"/>
  <c r="H37" i="10"/>
  <c r="H69" i="10" s="1"/>
  <c r="H38" i="10"/>
  <c r="H70" i="10" s="1"/>
  <c r="G39" i="10"/>
  <c r="G71" i="10" s="1"/>
  <c r="H40" i="10"/>
  <c r="H72" i="10" s="1"/>
  <c r="G41" i="10"/>
  <c r="G73" i="10" s="1"/>
  <c r="H42" i="10"/>
  <c r="H74" i="10" s="1"/>
  <c r="E8" i="8"/>
  <c r="M95" i="11"/>
  <c r="H66" i="6" s="1"/>
  <c r="M94" i="11"/>
  <c r="H67" i="6" s="1"/>
  <c r="H34" i="10"/>
  <c r="G30" i="10"/>
  <c r="G31" i="10"/>
  <c r="G32" i="10" s="1"/>
  <c r="G38" i="10"/>
  <c r="G70" i="10" s="1"/>
  <c r="H39" i="10"/>
  <c r="H71" i="10" s="1"/>
  <c r="G40" i="10"/>
  <c r="G72" i="10" s="1"/>
  <c r="K29" i="8" l="1"/>
  <c r="K33" i="8"/>
  <c r="K32" i="8"/>
  <c r="G87" i="6"/>
  <c r="K26" i="8"/>
  <c r="I6" i="10"/>
  <c r="L8" i="8"/>
  <c r="J27" i="8"/>
  <c r="J44" i="8" s="1"/>
  <c r="J26" i="8"/>
  <c r="AG71" i="8"/>
  <c r="AH71" i="8" s="1"/>
  <c r="AI71" i="8" s="1"/>
  <c r="AJ71" i="8" s="1"/>
  <c r="J50" i="8"/>
  <c r="K50" i="8"/>
  <c r="J46" i="8"/>
  <c r="K46" i="8"/>
  <c r="H55" i="10"/>
  <c r="G56" i="10"/>
  <c r="G43" i="10"/>
  <c r="G45" i="10" s="1"/>
  <c r="F41" i="10"/>
  <c r="F39" i="10"/>
  <c r="F34" i="10"/>
  <c r="F56" i="10" s="1"/>
  <c r="F42" i="10"/>
  <c r="F40" i="10"/>
  <c r="F38" i="10"/>
  <c r="F37" i="10"/>
  <c r="F36" i="10"/>
  <c r="F35" i="10"/>
  <c r="F30" i="10"/>
  <c r="F31" i="10"/>
  <c r="F43" i="10"/>
  <c r="F32" i="10"/>
  <c r="J49" i="8"/>
  <c r="K49" i="8"/>
  <c r="J34" i="8"/>
  <c r="M26" i="8"/>
  <c r="M32" i="8"/>
  <c r="U49" i="8" s="1"/>
  <c r="M31" i="8"/>
  <c r="M33" i="8"/>
  <c r="R50" i="8" s="1"/>
  <c r="M28" i="8"/>
  <c r="U45" i="8" s="1"/>
  <c r="M27" i="8"/>
  <c r="M29" i="8"/>
  <c r="M30" i="8"/>
  <c r="K45" i="8"/>
  <c r="H89" i="6"/>
  <c r="I84" i="6" s="1"/>
  <c r="BE83" i="8"/>
  <c r="BE82" i="8" s="1"/>
  <c r="BD85" i="8"/>
  <c r="E49" i="6"/>
  <c r="E50" i="6" s="1"/>
  <c r="E51" i="6" s="1"/>
  <c r="F44" i="6"/>
  <c r="H56" i="10"/>
  <c r="H57" i="10" s="1"/>
  <c r="H43" i="10"/>
  <c r="G55" i="10"/>
  <c r="G57" i="10" s="1"/>
  <c r="J67" i="6"/>
  <c r="C8" i="6" s="1"/>
  <c r="I71" i="6"/>
  <c r="H32" i="10"/>
  <c r="E42" i="10"/>
  <c r="E41" i="10"/>
  <c r="E40" i="10"/>
  <c r="E39" i="10"/>
  <c r="E38" i="10"/>
  <c r="E37" i="10"/>
  <c r="E36" i="10"/>
  <c r="E35" i="10"/>
  <c r="E34" i="10"/>
  <c r="E56" i="10" s="1"/>
  <c r="E32" i="10"/>
  <c r="E31" i="10"/>
  <c r="E30" i="10"/>
  <c r="E43" i="10"/>
  <c r="J41" i="10"/>
  <c r="J73" i="10" s="1"/>
  <c r="J39" i="10"/>
  <c r="J71" i="10" s="1"/>
  <c r="J42" i="10"/>
  <c r="J74" i="10" s="1"/>
  <c r="J40" i="10"/>
  <c r="J72" i="10" s="1"/>
  <c r="J38" i="10"/>
  <c r="J70" i="10" s="1"/>
  <c r="J37" i="10"/>
  <c r="J69" i="10" s="1"/>
  <c r="J36" i="10"/>
  <c r="J68" i="10" s="1"/>
  <c r="J35" i="10"/>
  <c r="J67" i="10" s="1"/>
  <c r="J30" i="10"/>
  <c r="J34" i="10"/>
  <c r="J31" i="10"/>
  <c r="J32" i="10" s="1"/>
  <c r="K48" i="8"/>
  <c r="K34" i="8"/>
  <c r="Q64" i="8"/>
  <c r="P65" i="8"/>
  <c r="H87" i="6"/>
  <c r="E45" i="10" l="1"/>
  <c r="I42" i="10"/>
  <c r="I74" i="10" s="1"/>
  <c r="I31" i="10"/>
  <c r="I35" i="10"/>
  <c r="I67" i="10" s="1"/>
  <c r="I37" i="10"/>
  <c r="I69" i="10" s="1"/>
  <c r="I41" i="10"/>
  <c r="I73" i="10" s="1"/>
  <c r="I40" i="10"/>
  <c r="I72" i="10" s="1"/>
  <c r="I36" i="10"/>
  <c r="I68" i="10" s="1"/>
  <c r="I39" i="10"/>
  <c r="I71" i="10" s="1"/>
  <c r="I30" i="10"/>
  <c r="I55" i="10" s="1"/>
  <c r="I34" i="10"/>
  <c r="I38" i="10"/>
  <c r="I70" i="10" s="1"/>
  <c r="K44" i="8"/>
  <c r="J43" i="8"/>
  <c r="K43" i="8"/>
  <c r="L31" i="8"/>
  <c r="L26" i="8"/>
  <c r="L30" i="8"/>
  <c r="L47" i="8" s="1"/>
  <c r="L33" i="8"/>
  <c r="L28" i="8"/>
  <c r="L29" i="8"/>
  <c r="L46" i="8" s="1"/>
  <c r="L27" i="8"/>
  <c r="L44" i="8" s="1"/>
  <c r="L32" i="8"/>
  <c r="AK71" i="8"/>
  <c r="J56" i="10"/>
  <c r="J43" i="10"/>
  <c r="J45" i="10" s="1"/>
  <c r="J50" i="10" s="1"/>
  <c r="J52" i="10" s="1"/>
  <c r="BE81" i="8"/>
  <c r="BE79" i="8" s="1"/>
  <c r="BD86" i="8"/>
  <c r="I86" i="6"/>
  <c r="I89" i="6" s="1"/>
  <c r="J84" i="6" s="1"/>
  <c r="U46" i="8"/>
  <c r="Y46" i="8"/>
  <c r="M46" i="8"/>
  <c r="Q46" i="8"/>
  <c r="R46" i="8"/>
  <c r="S46" i="8"/>
  <c r="T46" i="8"/>
  <c r="O46" i="8"/>
  <c r="N46" i="8"/>
  <c r="P46" i="8"/>
  <c r="P48" i="8"/>
  <c r="O48" i="8"/>
  <c r="Y43" i="8"/>
  <c r="S43" i="8"/>
  <c r="Q43" i="8"/>
  <c r="M43" i="8"/>
  <c r="R43" i="8"/>
  <c r="U43" i="8"/>
  <c r="O43" i="8"/>
  <c r="P43" i="8"/>
  <c r="N43" i="8"/>
  <c r="T43" i="8"/>
  <c r="M34" i="8"/>
  <c r="Q49" i="8"/>
  <c r="Y49" i="8"/>
  <c r="N49" i="8"/>
  <c r="R64" i="8"/>
  <c r="Q65" i="8"/>
  <c r="K96" i="8"/>
  <c r="G7" i="4"/>
  <c r="J55" i="10"/>
  <c r="J57" i="10" s="1"/>
  <c r="J58" i="10" s="1"/>
  <c r="E55" i="10"/>
  <c r="E57" i="10" s="1"/>
  <c r="H45" i="10"/>
  <c r="F46" i="6"/>
  <c r="BC85" i="8"/>
  <c r="BD83" i="8"/>
  <c r="BD84" i="8" s="1"/>
  <c r="BE84" i="8"/>
  <c r="K51" i="8"/>
  <c r="U47" i="8"/>
  <c r="T47" i="8"/>
  <c r="N47" i="8"/>
  <c r="O47" i="8"/>
  <c r="S47" i="8"/>
  <c r="Q47" i="8"/>
  <c r="R47" i="8"/>
  <c r="M47" i="8"/>
  <c r="Y47" i="8"/>
  <c r="P47" i="8"/>
  <c r="U44" i="8"/>
  <c r="R44" i="8"/>
  <c r="N44" i="8"/>
  <c r="Q44" i="8"/>
  <c r="M44" i="8"/>
  <c r="O44" i="8"/>
  <c r="Y44" i="8"/>
  <c r="T44" i="8"/>
  <c r="P44" i="8"/>
  <c r="S44" i="8"/>
  <c r="P49" i="8"/>
  <c r="M49" i="8"/>
  <c r="O49" i="8"/>
  <c r="F7" i="4"/>
  <c r="J96" i="8"/>
  <c r="R49" i="8"/>
  <c r="J51" i="8"/>
  <c r="F45" i="10"/>
  <c r="F55" i="10"/>
  <c r="F57" i="10" s="1"/>
  <c r="L49" i="8" l="1"/>
  <c r="T49" i="8"/>
  <c r="S49" i="8"/>
  <c r="Y50" i="8"/>
  <c r="Q50" i="8"/>
  <c r="N50" i="8"/>
  <c r="O50" i="8"/>
  <c r="M50" i="8"/>
  <c r="L50" i="8"/>
  <c r="P50" i="8"/>
  <c r="L34" i="8"/>
  <c r="L43" i="8"/>
  <c r="L45" i="8"/>
  <c r="Y45" i="8"/>
  <c r="S45" i="8"/>
  <c r="N45" i="8"/>
  <c r="P45" i="8"/>
  <c r="M45" i="8"/>
  <c r="R45" i="8"/>
  <c r="O45" i="8"/>
  <c r="Q45" i="8"/>
  <c r="T45" i="8"/>
  <c r="N48" i="8"/>
  <c r="L48" i="8"/>
  <c r="Z48" i="8" s="1"/>
  <c r="AA48" i="8" s="1"/>
  <c r="AB48" i="8" s="1"/>
  <c r="M48" i="8"/>
  <c r="Y48" i="8"/>
  <c r="I56" i="10"/>
  <c r="I57" i="10" s="1"/>
  <c r="I43" i="10"/>
  <c r="I32" i="10"/>
  <c r="AL71" i="8"/>
  <c r="Z49" i="8"/>
  <c r="F60" i="10"/>
  <c r="E59" i="10"/>
  <c r="Z44" i="8"/>
  <c r="AA44" i="8" s="1"/>
  <c r="AB44" i="8" s="1"/>
  <c r="T51" i="8"/>
  <c r="P51" i="8"/>
  <c r="U51" i="8"/>
  <c r="M51" i="8"/>
  <c r="Z43" i="8"/>
  <c r="S51" i="8"/>
  <c r="I87" i="6"/>
  <c r="K86" i="6"/>
  <c r="C9" i="6" s="1"/>
  <c r="Z47" i="8"/>
  <c r="AA47" i="8" s="1"/>
  <c r="BB85" i="8"/>
  <c r="F47" i="6"/>
  <c r="S64" i="8"/>
  <c r="R65" i="8"/>
  <c r="AA49" i="8"/>
  <c r="AB49" i="8" s="1"/>
  <c r="M96" i="8"/>
  <c r="I7" i="4"/>
  <c r="N51" i="8"/>
  <c r="O51" i="8"/>
  <c r="R51" i="8"/>
  <c r="Q51" i="8"/>
  <c r="AA43" i="8"/>
  <c r="AB43" i="8" s="1"/>
  <c r="Z46" i="8"/>
  <c r="AA46" i="8" s="1"/>
  <c r="AB46" i="8" s="1"/>
  <c r="BG80" i="8"/>
  <c r="BG78" i="8" s="1"/>
  <c r="BF80" i="8"/>
  <c r="BF78" i="8" s="1"/>
  <c r="BE80" i="8"/>
  <c r="BE78" i="8" s="1"/>
  <c r="J66" i="8"/>
  <c r="BD82" i="8"/>
  <c r="I45" i="10" l="1"/>
  <c r="L51" i="8"/>
  <c r="Z45" i="8"/>
  <c r="AA45" i="8" s="1"/>
  <c r="AB45" i="8" s="1"/>
  <c r="H7" i="4"/>
  <c r="L96" i="8"/>
  <c r="Z50" i="8"/>
  <c r="AA50" i="8" s="1"/>
  <c r="AB50" i="8" s="1"/>
  <c r="AM71" i="8"/>
  <c r="BD81" i="8"/>
  <c r="BD79" i="8" s="1"/>
  <c r="BC86" i="8"/>
  <c r="BD80" i="8"/>
  <c r="BD78" i="8" s="1"/>
  <c r="T64" i="8"/>
  <c r="S65" i="8"/>
  <c r="F49" i="6"/>
  <c r="F50" i="6" s="1"/>
  <c r="F51" i="6" s="1"/>
  <c r="G44" i="6"/>
  <c r="BA85" i="8"/>
  <c r="G60" i="10"/>
  <c r="AN71" i="8" l="1"/>
  <c r="AZ85" i="8"/>
  <c r="BC83" i="8"/>
  <c r="BC84" i="8" s="1"/>
  <c r="G63" i="10"/>
  <c r="H60" i="10"/>
  <c r="G64" i="10"/>
  <c r="G66" i="10"/>
  <c r="G46" i="6"/>
  <c r="G47" i="6" s="1"/>
  <c r="U64" i="8"/>
  <c r="T65" i="8"/>
  <c r="AO71" i="8" l="1"/>
  <c r="G49" i="6"/>
  <c r="G50" i="6" s="1"/>
  <c r="G51" i="6" s="1"/>
  <c r="H44" i="6"/>
  <c r="V64" i="8"/>
  <c r="U65" i="8"/>
  <c r="G76" i="10"/>
  <c r="BC82" i="8"/>
  <c r="H64" i="10"/>
  <c r="I60" i="10"/>
  <c r="H63" i="10"/>
  <c r="H66" i="10"/>
  <c r="AY85" i="8"/>
  <c r="AP71" i="8" l="1"/>
  <c r="I66" i="10"/>
  <c r="I64" i="10"/>
  <c r="I63" i="10"/>
  <c r="J60" i="10"/>
  <c r="AX85" i="8"/>
  <c r="H76" i="10"/>
  <c r="H79" i="10" s="1"/>
  <c r="G17" i="4" s="1"/>
  <c r="BC81" i="8"/>
  <c r="BC79" i="8" s="1"/>
  <c r="BB86" i="8"/>
  <c r="BC80" i="8"/>
  <c r="BC78" i="8" s="1"/>
  <c r="H46" i="6"/>
  <c r="H47" i="6" s="1"/>
  <c r="G79" i="10"/>
  <c r="F17" i="4" s="1"/>
  <c r="W64" i="8"/>
  <c r="V65" i="8"/>
  <c r="I76" i="10" l="1"/>
  <c r="I79" i="10" s="1"/>
  <c r="H17" i="4" s="1"/>
  <c r="AQ71" i="8"/>
  <c r="I44" i="6"/>
  <c r="H49" i="6"/>
  <c r="H50" i="6" s="1"/>
  <c r="H51" i="6" s="1"/>
  <c r="X64" i="8"/>
  <c r="W65" i="8"/>
  <c r="BB83" i="8"/>
  <c r="BB84" i="8" s="1"/>
  <c r="J63" i="10"/>
  <c r="J64" i="10"/>
  <c r="J66" i="10"/>
  <c r="AW85" i="8"/>
  <c r="AR71" i="8" l="1"/>
  <c r="AV85" i="8"/>
  <c r="J76" i="10"/>
  <c r="BB82" i="8"/>
  <c r="Y64" i="8"/>
  <c r="X65" i="8"/>
  <c r="I46" i="6"/>
  <c r="C7" i="6" s="1"/>
  <c r="I47" i="6" l="1"/>
  <c r="AS71" i="8"/>
  <c r="Z64" i="8"/>
  <c r="Y65" i="8"/>
  <c r="J79" i="10"/>
  <c r="I17" i="4" s="1"/>
  <c r="J77" i="10"/>
  <c r="AU85" i="8"/>
  <c r="I49" i="6"/>
  <c r="I50" i="6" s="1"/>
  <c r="I51" i="6" s="1"/>
  <c r="C12" i="6"/>
  <c r="BB81" i="8"/>
  <c r="BB79" i="8" s="1"/>
  <c r="BA86" i="8"/>
  <c r="BB80" i="8"/>
  <c r="BB78" i="8" s="1"/>
  <c r="AT71" i="8" l="1"/>
  <c r="BA83" i="8"/>
  <c r="BA84" i="8" s="1"/>
  <c r="AT85" i="8"/>
  <c r="F6" i="4"/>
  <c r="J95" i="8"/>
  <c r="Z65" i="8"/>
  <c r="AA64" i="8"/>
  <c r="AU71" i="8" l="1"/>
  <c r="AB64" i="8"/>
  <c r="AA65" i="8"/>
  <c r="AS85" i="8"/>
  <c r="BA82" i="8"/>
  <c r="AV71" i="8" l="1"/>
  <c r="BA81" i="8"/>
  <c r="BA79" i="8" s="1"/>
  <c r="AZ86" i="8"/>
  <c r="BA80" i="8"/>
  <c r="BA78" i="8" s="1"/>
  <c r="AR85" i="8"/>
  <c r="AC64" i="8"/>
  <c r="AB65" i="8"/>
  <c r="AC65" i="8" l="1"/>
  <c r="AD64" i="8"/>
  <c r="AW71" i="8"/>
  <c r="AQ85" i="8"/>
  <c r="AZ83" i="8"/>
  <c r="AZ84" i="8" s="1"/>
  <c r="AE64" i="8" l="1"/>
  <c r="AD65" i="8"/>
  <c r="AX71" i="8"/>
  <c r="AZ82" i="8"/>
  <c r="AP85" i="8"/>
  <c r="AF64" i="8" l="1"/>
  <c r="AE65" i="8"/>
  <c r="AY71" i="8"/>
  <c r="AZ81" i="8"/>
  <c r="AZ79" i="8" s="1"/>
  <c r="AY86" i="8"/>
  <c r="AZ80" i="8"/>
  <c r="AZ78" i="8" s="1"/>
  <c r="AO85" i="8"/>
  <c r="AG64" i="8" l="1"/>
  <c r="AF65" i="8"/>
  <c r="AZ71" i="8"/>
  <c r="AY83" i="8"/>
  <c r="AY84" i="8" s="1"/>
  <c r="AN85" i="8"/>
  <c r="AH64" i="8" l="1"/>
  <c r="AG65" i="8"/>
  <c r="BA71" i="8"/>
  <c r="AM85" i="8"/>
  <c r="AY82" i="8"/>
  <c r="AI64" i="8" l="1"/>
  <c r="AH65" i="8"/>
  <c r="BB71" i="8"/>
  <c r="AX86" i="8"/>
  <c r="AY81" i="8"/>
  <c r="AY79" i="8" s="1"/>
  <c r="AY80" i="8"/>
  <c r="AY78" i="8" s="1"/>
  <c r="AL85" i="8"/>
  <c r="AJ64" i="8" l="1"/>
  <c r="AI65" i="8"/>
  <c r="BC71" i="8"/>
  <c r="AK85" i="8"/>
  <c r="AX83" i="8"/>
  <c r="AX84" i="8" s="1"/>
  <c r="AK64" i="8" l="1"/>
  <c r="AJ65" i="8"/>
  <c r="BD71" i="8"/>
  <c r="AX82" i="8"/>
  <c r="AJ85" i="8"/>
  <c r="AL64" i="8" l="1"/>
  <c r="AK65" i="8"/>
  <c r="BE71" i="8"/>
  <c r="AI85" i="8"/>
  <c r="AX81" i="8"/>
  <c r="AX79" i="8" s="1"/>
  <c r="AW86" i="8"/>
  <c r="AX80" i="8"/>
  <c r="AX78" i="8" s="1"/>
  <c r="AM64" i="8" l="1"/>
  <c r="AL65" i="8"/>
  <c r="BF71" i="8"/>
  <c r="AH85" i="8"/>
  <c r="AW83" i="8"/>
  <c r="AW84" i="8" s="1"/>
  <c r="AN64" i="8" l="1"/>
  <c r="AM65" i="8"/>
  <c r="BG71" i="8"/>
  <c r="AW82" i="8"/>
  <c r="AG85" i="8"/>
  <c r="AO64" i="8" l="1"/>
  <c r="AN65" i="8"/>
  <c r="AF85" i="8"/>
  <c r="AW81" i="8"/>
  <c r="AW79" i="8" s="1"/>
  <c r="AV86" i="8"/>
  <c r="AW80" i="8"/>
  <c r="AW78" i="8" s="1"/>
  <c r="AP64" i="8" l="1"/>
  <c r="AO65" i="8"/>
  <c r="AV83" i="8"/>
  <c r="AV84" i="8" s="1"/>
  <c r="AE85" i="8"/>
  <c r="AQ64" i="8" l="1"/>
  <c r="AP65" i="8"/>
  <c r="AD85" i="8"/>
  <c r="AV82" i="8"/>
  <c r="AR64" i="8" l="1"/>
  <c r="AQ65" i="8"/>
  <c r="AV81" i="8"/>
  <c r="AV79" i="8" s="1"/>
  <c r="AU86" i="8"/>
  <c r="AV80" i="8"/>
  <c r="AV78" i="8" s="1"/>
  <c r="AC85" i="8"/>
  <c r="AS64" i="8" l="1"/>
  <c r="AR65" i="8"/>
  <c r="AB85" i="8"/>
  <c r="AU83" i="8"/>
  <c r="AU84" i="8" s="1"/>
  <c r="AT64" i="8" l="1"/>
  <c r="AS65" i="8"/>
  <c r="AU82" i="8"/>
  <c r="AA85" i="8"/>
  <c r="AU64" i="8" l="1"/>
  <c r="AT65" i="8"/>
  <c r="Z85" i="8"/>
  <c r="AU81" i="8"/>
  <c r="AU79" i="8" s="1"/>
  <c r="AT86" i="8"/>
  <c r="AU80" i="8"/>
  <c r="AU78" i="8" s="1"/>
  <c r="AV64" i="8" l="1"/>
  <c r="AU65" i="8"/>
  <c r="AT83" i="8"/>
  <c r="AT84" i="8" s="1"/>
  <c r="Y85" i="8"/>
  <c r="AW64" i="8" l="1"/>
  <c r="AV65" i="8"/>
  <c r="X85" i="8"/>
  <c r="AT82" i="8"/>
  <c r="AX64" i="8" l="1"/>
  <c r="AW65" i="8"/>
  <c r="AS86" i="8"/>
  <c r="AT81" i="8"/>
  <c r="AT79" i="8" s="1"/>
  <c r="AT80" i="8"/>
  <c r="AT78" i="8" s="1"/>
  <c r="W85" i="8"/>
  <c r="AY64" i="8" l="1"/>
  <c r="AX65" i="8"/>
  <c r="V85" i="8"/>
  <c r="AS83" i="8"/>
  <c r="AS84" i="8" s="1"/>
  <c r="AZ64" i="8" l="1"/>
  <c r="AY65" i="8"/>
  <c r="AS82" i="8"/>
  <c r="U85" i="8"/>
  <c r="BA64" i="8" l="1"/>
  <c r="AZ65" i="8"/>
  <c r="T85" i="8"/>
  <c r="AS81" i="8"/>
  <c r="AS79" i="8" s="1"/>
  <c r="AR86" i="8"/>
  <c r="AS80" i="8"/>
  <c r="AS78" i="8" s="1"/>
  <c r="BB64" i="8" l="1"/>
  <c r="BA65" i="8"/>
  <c r="AR83" i="8"/>
  <c r="AR84" i="8" s="1"/>
  <c r="S85" i="8"/>
  <c r="BC64" i="8" l="1"/>
  <c r="BB65" i="8"/>
  <c r="R85" i="8"/>
  <c r="AR82" i="8"/>
  <c r="BD64" i="8" l="1"/>
  <c r="BC65" i="8"/>
  <c r="AQ86" i="8"/>
  <c r="AR81" i="8"/>
  <c r="AR79" i="8" s="1"/>
  <c r="AR80" i="8"/>
  <c r="AR78" i="8" s="1"/>
  <c r="Q85" i="8"/>
  <c r="BE64" i="8" l="1"/>
  <c r="BD65" i="8"/>
  <c r="P85" i="8"/>
  <c r="AQ83" i="8"/>
  <c r="AQ84" i="8" s="1"/>
  <c r="BF64" i="8" l="1"/>
  <c r="BE65" i="8"/>
  <c r="AQ82" i="8"/>
  <c r="O85" i="8"/>
  <c r="BG64" i="8" l="1"/>
  <c r="BG65" i="8" s="1"/>
  <c r="BF65" i="8"/>
  <c r="N85" i="8"/>
  <c r="AQ81" i="8"/>
  <c r="AQ79" i="8" s="1"/>
  <c r="AP86" i="8"/>
  <c r="AQ80" i="8"/>
  <c r="AQ78" i="8" s="1"/>
  <c r="AP83" i="8" l="1"/>
  <c r="AP84" i="8" s="1"/>
  <c r="M85" i="8"/>
  <c r="L85" i="8" l="1"/>
  <c r="AP82" i="8"/>
  <c r="AO86" i="8" l="1"/>
  <c r="AP81" i="8"/>
  <c r="AP79" i="8" s="1"/>
  <c r="AP80" i="8"/>
  <c r="AP78" i="8" s="1"/>
  <c r="K85" i="8"/>
  <c r="AO83" i="8" l="1"/>
  <c r="AO84" i="8" s="1"/>
  <c r="J85" i="8"/>
  <c r="AO82" i="8" l="1"/>
  <c r="AN86" i="8" s="1"/>
  <c r="AO80" i="8" l="1"/>
  <c r="AO78" i="8" s="1"/>
  <c r="AO81" i="8"/>
  <c r="AO79" i="8" s="1"/>
  <c r="AN83" i="8"/>
  <c r="AN84" i="8" s="1"/>
  <c r="AN82" i="8" l="1"/>
  <c r="AM86" i="8" l="1"/>
  <c r="AN81" i="8"/>
  <c r="AN79" i="8" s="1"/>
  <c r="C79" i="8" s="1"/>
  <c r="AN80" i="8"/>
  <c r="AN78" i="8" s="1"/>
  <c r="G25" i="4" l="1"/>
  <c r="I25" i="4"/>
  <c r="H25" i="4"/>
  <c r="AM83" i="8"/>
  <c r="AM84" i="8" s="1"/>
  <c r="AM82" i="8" l="1"/>
  <c r="AM81" i="8" l="1"/>
  <c r="AM79" i="8" s="1"/>
  <c r="AL86" i="8"/>
  <c r="AM80" i="8"/>
  <c r="AM78" i="8" s="1"/>
  <c r="AL83" i="8" l="1"/>
  <c r="AL84" i="8" s="1"/>
  <c r="AL82" i="8" l="1"/>
  <c r="AL81" i="8" l="1"/>
  <c r="AL79" i="8" s="1"/>
  <c r="AK86" i="8"/>
  <c r="AL80" i="8"/>
  <c r="AL78" i="8" s="1"/>
  <c r="AK83" i="8" l="1"/>
  <c r="AK84" i="8" s="1"/>
  <c r="AK82" i="8" l="1"/>
  <c r="AK81" i="8" l="1"/>
  <c r="AK79" i="8" s="1"/>
  <c r="AJ86" i="8"/>
  <c r="AK80" i="8"/>
  <c r="AK78" i="8" s="1"/>
  <c r="AJ83" i="8" l="1"/>
  <c r="AJ84" i="8" s="1"/>
  <c r="AJ82" i="8" l="1"/>
  <c r="AJ81" i="8" s="1"/>
  <c r="AJ79" i="8" s="1"/>
  <c r="AJ80" i="8" l="1"/>
  <c r="AJ78" i="8" s="1"/>
  <c r="AI86" i="8"/>
  <c r="AI83" i="8"/>
  <c r="AI84" i="8" s="1"/>
  <c r="AI82" i="8" l="1"/>
  <c r="AI81" i="8" s="1"/>
  <c r="AI79" i="8" s="1"/>
  <c r="AH86" i="8" l="1"/>
  <c r="AI80" i="8"/>
  <c r="AI78" i="8" s="1"/>
  <c r="AH83" i="8"/>
  <c r="AH84" i="8" s="1"/>
  <c r="AH82" i="8" l="1"/>
  <c r="AG86" i="8" l="1"/>
  <c r="AH81" i="8"/>
  <c r="AH79" i="8" s="1"/>
  <c r="AH80" i="8"/>
  <c r="AH78" i="8" s="1"/>
  <c r="AG83" i="8" l="1"/>
  <c r="AG84" i="8" s="1"/>
  <c r="AG82" i="8" l="1"/>
  <c r="AG81" i="8" l="1"/>
  <c r="AG79" i="8" s="1"/>
  <c r="AF86" i="8"/>
  <c r="AG80" i="8"/>
  <c r="AG78" i="8" s="1"/>
  <c r="AF83" i="8" l="1"/>
  <c r="AF84" i="8" s="1"/>
  <c r="AF82" i="8" l="1"/>
  <c r="AF81" i="8" l="1"/>
  <c r="AF79" i="8" s="1"/>
  <c r="AE86" i="8"/>
  <c r="AF80" i="8"/>
  <c r="AF78" i="8" s="1"/>
  <c r="AE83" i="8" l="1"/>
  <c r="AE84" i="8" s="1"/>
  <c r="AE82" i="8" l="1"/>
  <c r="AE81" i="8" l="1"/>
  <c r="AE79" i="8" s="1"/>
  <c r="AD86" i="8"/>
  <c r="AE80" i="8"/>
  <c r="AE78" i="8" s="1"/>
  <c r="AD83" i="8" l="1"/>
  <c r="AD84" i="8" s="1"/>
  <c r="AD82" i="8" l="1"/>
  <c r="AC86" i="8" l="1"/>
  <c r="AD81" i="8"/>
  <c r="AD79" i="8" s="1"/>
  <c r="AD80" i="8"/>
  <c r="AD78" i="8" s="1"/>
  <c r="AC83" i="8" l="1"/>
  <c r="AC84" i="8" s="1"/>
  <c r="AC82" i="8" l="1"/>
  <c r="AB86" i="8" l="1"/>
  <c r="AC81" i="8"/>
  <c r="AC79" i="8" s="1"/>
  <c r="AC80" i="8"/>
  <c r="AC78" i="8" s="1"/>
  <c r="AB83" i="8" l="1"/>
  <c r="AB84" i="8" s="1"/>
  <c r="AB82" i="8" l="1"/>
  <c r="AA86" i="8" l="1"/>
  <c r="AB81" i="8"/>
  <c r="AB79" i="8" s="1"/>
  <c r="AB80" i="8"/>
  <c r="AB78" i="8" s="1"/>
  <c r="AA83" i="8" l="1"/>
  <c r="AA84" i="8" s="1"/>
  <c r="AA82" i="8" l="1"/>
  <c r="Z86" i="8" l="1"/>
  <c r="AA81" i="8"/>
  <c r="AA79" i="8" s="1"/>
  <c r="AA80" i="8"/>
  <c r="AA78" i="8" s="1"/>
  <c r="Z83" i="8" l="1"/>
  <c r="Z84" i="8" s="1"/>
  <c r="Z82" i="8" l="1"/>
  <c r="Y86" i="8" l="1"/>
  <c r="Z81" i="8"/>
  <c r="Z79" i="8" s="1"/>
  <c r="Z80" i="8"/>
  <c r="Z78" i="8" s="1"/>
  <c r="Y83" i="8" l="1"/>
  <c r="Y84" i="8" s="1"/>
  <c r="Y82" i="8" l="1"/>
  <c r="X86" i="8" l="1"/>
  <c r="Y81" i="8"/>
  <c r="Y79" i="8" s="1"/>
  <c r="Y80" i="8"/>
  <c r="Y78" i="8" s="1"/>
  <c r="X83" i="8" l="1"/>
  <c r="X84" i="8" s="1"/>
  <c r="X82" i="8" l="1"/>
  <c r="W86" i="8" l="1"/>
  <c r="X81" i="8"/>
  <c r="X79" i="8" s="1"/>
  <c r="X80" i="8"/>
  <c r="X78" i="8" s="1"/>
  <c r="W83" i="8" l="1"/>
  <c r="W84" i="8" s="1"/>
  <c r="W82" i="8" l="1"/>
  <c r="V86" i="8" l="1"/>
  <c r="W81" i="8"/>
  <c r="W79" i="8" s="1"/>
  <c r="W80" i="8"/>
  <c r="W78" i="8" s="1"/>
  <c r="V83" i="8" l="1"/>
  <c r="V84" i="8" s="1"/>
  <c r="V82" i="8" l="1"/>
  <c r="V81" i="8" l="1"/>
  <c r="V79" i="8" s="1"/>
  <c r="U86" i="8"/>
  <c r="V80" i="8"/>
  <c r="V78" i="8" s="1"/>
  <c r="U83" i="8" l="1"/>
  <c r="U84" i="8" s="1"/>
  <c r="U82" i="8" l="1"/>
  <c r="U81" i="8" s="1"/>
  <c r="U79" i="8" s="1"/>
  <c r="T86" i="8" l="1"/>
  <c r="U80" i="8"/>
  <c r="U78" i="8" s="1"/>
  <c r="T83" i="8"/>
  <c r="T84" i="8" s="1"/>
  <c r="T82" i="8" l="1"/>
  <c r="T81" i="8" l="1"/>
  <c r="T79" i="8" s="1"/>
  <c r="S86" i="8"/>
  <c r="T80" i="8"/>
  <c r="T78" i="8" s="1"/>
  <c r="C78" i="8" s="1"/>
  <c r="J69" i="8" s="1"/>
  <c r="J67" i="8" l="1"/>
  <c r="K69" i="8"/>
  <c r="S83" i="8"/>
  <c r="S84" i="8" s="1"/>
  <c r="J68" i="8" l="1"/>
  <c r="J56" i="8"/>
  <c r="J58" i="8" s="1"/>
  <c r="J70" i="8"/>
  <c r="K66" i="8" s="1"/>
  <c r="L69" i="8"/>
  <c r="K67" i="8"/>
  <c r="K68" i="8" s="1"/>
  <c r="S82" i="8"/>
  <c r="K70" i="8" l="1"/>
  <c r="L66" i="8" s="1"/>
  <c r="L67" i="8" s="1"/>
  <c r="K56" i="8"/>
  <c r="K58" i="8" s="1"/>
  <c r="M69" i="8"/>
  <c r="J97" i="8"/>
  <c r="J98" i="8" s="1"/>
  <c r="K95" i="8" s="1"/>
  <c r="F8" i="4"/>
  <c r="S81" i="8"/>
  <c r="S79" i="8" s="1"/>
  <c r="R86" i="8"/>
  <c r="S80" i="8"/>
  <c r="S78" i="8" s="1"/>
  <c r="L70" i="8" l="1"/>
  <c r="M66" i="8" s="1"/>
  <c r="L56" i="8"/>
  <c r="L58" i="8" s="1"/>
  <c r="L68" i="8"/>
  <c r="F9" i="4"/>
  <c r="F19" i="4"/>
  <c r="N69" i="8"/>
  <c r="M67" i="8"/>
  <c r="M56" i="8" s="1"/>
  <c r="M58" i="8" s="1"/>
  <c r="G8" i="4"/>
  <c r="G19" i="4" s="1"/>
  <c r="K97" i="8"/>
  <c r="K98" i="8" s="1"/>
  <c r="L95" i="8" s="1"/>
  <c r="R83" i="8"/>
  <c r="R84" i="8" s="1"/>
  <c r="I8" i="4" l="1"/>
  <c r="I19" i="4" s="1"/>
  <c r="M97" i="8"/>
  <c r="M70" i="8"/>
  <c r="N66" i="8" s="1"/>
  <c r="O69" i="8"/>
  <c r="N67" i="8"/>
  <c r="N56" i="8" s="1"/>
  <c r="N58" i="8" s="1"/>
  <c r="N97" i="8" s="1"/>
  <c r="F10" i="4"/>
  <c r="F16" i="4" s="1"/>
  <c r="F21" i="4" s="1"/>
  <c r="G6" i="4"/>
  <c r="L97" i="8"/>
  <c r="L98" i="8" s="1"/>
  <c r="M95" i="8" s="1"/>
  <c r="H8" i="4"/>
  <c r="H19" i="4" s="1"/>
  <c r="M68" i="8"/>
  <c r="R82" i="8"/>
  <c r="F28" i="4" l="1"/>
  <c r="F40" i="4" s="1"/>
  <c r="F38" i="4"/>
  <c r="F37" i="4"/>
  <c r="F41" i="4" s="1"/>
  <c r="F36" i="4"/>
  <c r="N70" i="8"/>
  <c r="O66" i="8" s="1"/>
  <c r="G9" i="4"/>
  <c r="H6" i="4" s="1"/>
  <c r="P69" i="8"/>
  <c r="O67" i="8"/>
  <c r="O56" i="8" s="1"/>
  <c r="O58" i="8" s="1"/>
  <c r="O97" i="8" s="1"/>
  <c r="N68" i="8"/>
  <c r="M98" i="8"/>
  <c r="N95" i="8" s="1"/>
  <c r="N98" i="8" s="1"/>
  <c r="O95" i="8" s="1"/>
  <c r="R81" i="8"/>
  <c r="R79" i="8" s="1"/>
  <c r="Q86" i="8"/>
  <c r="R80" i="8"/>
  <c r="R78" i="8" s="1"/>
  <c r="G10" i="4" l="1"/>
  <c r="G16" i="4" s="1"/>
  <c r="G21" i="4" s="1"/>
  <c r="G37" i="4" s="1"/>
  <c r="G41" i="4" s="1"/>
  <c r="Q69" i="8"/>
  <c r="H9" i="4"/>
  <c r="I6" i="4" s="1"/>
  <c r="I9" i="4" s="1"/>
  <c r="I10" i="4" s="1"/>
  <c r="I16" i="4" s="1"/>
  <c r="I21" i="4" s="1"/>
  <c r="O68" i="8"/>
  <c r="G36" i="4"/>
  <c r="G28" i="4"/>
  <c r="G40" i="4" s="1"/>
  <c r="O98" i="8"/>
  <c r="P95" i="8" s="1"/>
  <c r="O70" i="8"/>
  <c r="P66" i="8" s="1"/>
  <c r="P67" i="8" s="1"/>
  <c r="Q83" i="8"/>
  <c r="Q84" i="8" s="1"/>
  <c r="G38" i="4" l="1"/>
  <c r="G29" i="4"/>
  <c r="H10" i="4"/>
  <c r="H16" i="4" s="1"/>
  <c r="H21" i="4" s="1"/>
  <c r="P70" i="8"/>
  <c r="Q66" i="8" s="1"/>
  <c r="P56" i="8"/>
  <c r="P58" i="8" s="1"/>
  <c r="P97" i="8" s="1"/>
  <c r="P98" i="8" s="1"/>
  <c r="Q95" i="8" s="1"/>
  <c r="P68" i="8"/>
  <c r="H38" i="4"/>
  <c r="H37" i="4"/>
  <c r="H41" i="4" s="1"/>
  <c r="H28" i="4"/>
  <c r="H40" i="4" s="1"/>
  <c r="H36" i="4"/>
  <c r="H29" i="4"/>
  <c r="R69" i="8"/>
  <c r="Q67" i="8"/>
  <c r="Q68" i="8" s="1"/>
  <c r="I38" i="4"/>
  <c r="I28" i="4"/>
  <c r="I40" i="4" s="1"/>
  <c r="I37" i="4"/>
  <c r="I41" i="4" s="1"/>
  <c r="I29" i="4"/>
  <c r="I36" i="4"/>
  <c r="Q82" i="8"/>
  <c r="S69" i="8" l="1"/>
  <c r="Q70" i="8"/>
  <c r="R66" i="8" s="1"/>
  <c r="R67" i="8" s="1"/>
  <c r="Q56" i="8"/>
  <c r="Q58" i="8" s="1"/>
  <c r="Q97" i="8" s="1"/>
  <c r="Q98" i="8" s="1"/>
  <c r="R95" i="8" s="1"/>
  <c r="Q81" i="8"/>
  <c r="Q79" i="8" s="1"/>
  <c r="P86" i="8"/>
  <c r="Q80" i="8"/>
  <c r="Q78" i="8" s="1"/>
  <c r="R70" i="8" l="1"/>
  <c r="S66" i="8" s="1"/>
  <c r="R56" i="8"/>
  <c r="R58" i="8" s="1"/>
  <c r="R97" i="8" s="1"/>
  <c r="R98" i="8" s="1"/>
  <c r="S95" i="8" s="1"/>
  <c r="R68" i="8"/>
  <c r="T69" i="8"/>
  <c r="S67" i="8"/>
  <c r="S56" i="8" s="1"/>
  <c r="S58" i="8" s="1"/>
  <c r="S97" i="8" s="1"/>
  <c r="S98" i="8" s="1"/>
  <c r="T95" i="8" s="1"/>
  <c r="S68" i="8"/>
  <c r="P83" i="8"/>
  <c r="P84" i="8" s="1"/>
  <c r="S70" i="8" l="1"/>
  <c r="T66" i="8" s="1"/>
  <c r="U69" i="8"/>
  <c r="T67" i="8"/>
  <c r="T56" i="8" s="1"/>
  <c r="T58" i="8" s="1"/>
  <c r="T97" i="8" s="1"/>
  <c r="T98" i="8" s="1"/>
  <c r="U95" i="8" s="1"/>
  <c r="P82" i="8"/>
  <c r="T70" i="8" l="1"/>
  <c r="U66" i="8" s="1"/>
  <c r="V69" i="8"/>
  <c r="U67" i="8"/>
  <c r="U68" i="8" s="1"/>
  <c r="T68" i="8"/>
  <c r="P81" i="8"/>
  <c r="P79" i="8" s="1"/>
  <c r="O86" i="8"/>
  <c r="P80" i="8"/>
  <c r="P78" i="8" s="1"/>
  <c r="U70" i="8" l="1"/>
  <c r="V66" i="8" s="1"/>
  <c r="U56" i="8"/>
  <c r="U58" i="8" s="1"/>
  <c r="U97" i="8" s="1"/>
  <c r="U98" i="8" s="1"/>
  <c r="V95" i="8" s="1"/>
  <c r="W69" i="8"/>
  <c r="V67" i="8"/>
  <c r="V56" i="8" s="1"/>
  <c r="V58" i="8" s="1"/>
  <c r="V97" i="8" s="1"/>
  <c r="V98" i="8" s="1"/>
  <c r="W95" i="8" s="1"/>
  <c r="O83" i="8"/>
  <c r="O84" i="8" s="1"/>
  <c r="X69" i="8" l="1"/>
  <c r="V68" i="8"/>
  <c r="V70" i="8"/>
  <c r="W66" i="8" s="1"/>
  <c r="W67" i="8" s="1"/>
  <c r="W56" i="8" s="1"/>
  <c r="W58" i="8" s="1"/>
  <c r="W97" i="8" s="1"/>
  <c r="W98" i="8" s="1"/>
  <c r="X95" i="8" s="1"/>
  <c r="O82" i="8"/>
  <c r="Y69" i="8" l="1"/>
  <c r="W70" i="8"/>
  <c r="X66" i="8" s="1"/>
  <c r="W68" i="8"/>
  <c r="O81" i="8"/>
  <c r="O79" i="8" s="1"/>
  <c r="N86" i="8"/>
  <c r="O80" i="8"/>
  <c r="O78" i="8" s="1"/>
  <c r="Z69" i="8" l="1"/>
  <c r="X67" i="8"/>
  <c r="X70" i="8" s="1"/>
  <c r="Y66" i="8" s="1"/>
  <c r="N83" i="8"/>
  <c r="N84" i="8" s="1"/>
  <c r="X56" i="8" l="1"/>
  <c r="X58" i="8" s="1"/>
  <c r="X97" i="8" s="1"/>
  <c r="X98" i="8" s="1"/>
  <c r="Y95" i="8" s="1"/>
  <c r="X68" i="8"/>
  <c r="AA69" i="8"/>
  <c r="Y67" i="8"/>
  <c r="N82" i="8"/>
  <c r="Y56" i="8" l="1"/>
  <c r="Y58" i="8" s="1"/>
  <c r="Y97" i="8" s="1"/>
  <c r="Y98" i="8" s="1"/>
  <c r="Z95" i="8" s="1"/>
  <c r="Y68" i="8"/>
  <c r="AB69" i="8"/>
  <c r="Y70" i="8"/>
  <c r="Z66" i="8" s="1"/>
  <c r="N81" i="8"/>
  <c r="N79" i="8" s="1"/>
  <c r="M86" i="8"/>
  <c r="N80" i="8"/>
  <c r="N78" i="8" s="1"/>
  <c r="AC69" i="8" l="1"/>
  <c r="Z67" i="8"/>
  <c r="Z70" i="8" s="1"/>
  <c r="AA66" i="8" s="1"/>
  <c r="M83" i="8"/>
  <c r="M84" i="8" s="1"/>
  <c r="Z56" i="8" l="1"/>
  <c r="Z58" i="8" s="1"/>
  <c r="Z97" i="8" s="1"/>
  <c r="Z98" i="8" s="1"/>
  <c r="AA95" i="8" s="1"/>
  <c r="Z68" i="8"/>
  <c r="AD69" i="8"/>
  <c r="AA67" i="8"/>
  <c r="M82" i="8"/>
  <c r="AA56" i="8" l="1"/>
  <c r="AA58" i="8" s="1"/>
  <c r="AA97" i="8" s="1"/>
  <c r="AA98" i="8" s="1"/>
  <c r="AB95" i="8" s="1"/>
  <c r="AA68" i="8"/>
  <c r="AE69" i="8"/>
  <c r="AA70" i="8"/>
  <c r="AB66" i="8" s="1"/>
  <c r="M81" i="8"/>
  <c r="M79" i="8" s="1"/>
  <c r="L86" i="8"/>
  <c r="M80" i="8"/>
  <c r="M78" i="8" s="1"/>
  <c r="AF69" i="8" l="1"/>
  <c r="AB67" i="8"/>
  <c r="AB70" i="8" s="1"/>
  <c r="AC66" i="8" s="1"/>
  <c r="L83" i="8"/>
  <c r="L84" i="8" s="1"/>
  <c r="AB56" i="8" l="1"/>
  <c r="AB58" i="8" s="1"/>
  <c r="AB97" i="8" s="1"/>
  <c r="AB98" i="8" s="1"/>
  <c r="AC95" i="8" s="1"/>
  <c r="AB68" i="8"/>
  <c r="AG69" i="8"/>
  <c r="AC67" i="8"/>
  <c r="L82" i="8"/>
  <c r="AC56" i="8" l="1"/>
  <c r="AC58" i="8" s="1"/>
  <c r="AC97" i="8" s="1"/>
  <c r="AC98" i="8" s="1"/>
  <c r="AD95" i="8" s="1"/>
  <c r="AC68" i="8"/>
  <c r="AH69" i="8"/>
  <c r="AC70" i="8"/>
  <c r="AD66" i="8" s="1"/>
  <c r="L81" i="8"/>
  <c r="L79" i="8" s="1"/>
  <c r="K86" i="8"/>
  <c r="L80" i="8"/>
  <c r="L78" i="8" s="1"/>
  <c r="AI69" i="8" l="1"/>
  <c r="AD67" i="8"/>
  <c r="AD70" i="8" s="1"/>
  <c r="AE66" i="8" s="1"/>
  <c r="K83" i="8"/>
  <c r="K84" i="8" s="1"/>
  <c r="AD56" i="8" l="1"/>
  <c r="AD58" i="8" s="1"/>
  <c r="AD97" i="8" s="1"/>
  <c r="AD98" i="8" s="1"/>
  <c r="AE95" i="8" s="1"/>
  <c r="AD68" i="8"/>
  <c r="AJ69" i="8"/>
  <c r="AE67" i="8"/>
  <c r="K82" i="8"/>
  <c r="AE56" i="8" l="1"/>
  <c r="AE58" i="8" s="1"/>
  <c r="AE97" i="8" s="1"/>
  <c r="AE98" i="8" s="1"/>
  <c r="AF95" i="8" s="1"/>
  <c r="AE68" i="8"/>
  <c r="AK69" i="8"/>
  <c r="AE70" i="8"/>
  <c r="AF66" i="8" s="1"/>
  <c r="K81" i="8"/>
  <c r="K79" i="8" s="1"/>
  <c r="J86" i="8"/>
  <c r="K80" i="8"/>
  <c r="K78" i="8" s="1"/>
  <c r="AL69" i="8" l="1"/>
  <c r="AF67" i="8"/>
  <c r="AF70" i="8" s="1"/>
  <c r="AG66" i="8" s="1"/>
  <c r="AG67" i="8" s="1"/>
  <c r="J83" i="8"/>
  <c r="J84" i="8" s="1"/>
  <c r="AF56" i="8" l="1"/>
  <c r="AF58" i="8" s="1"/>
  <c r="AF97" i="8" s="1"/>
  <c r="AF98" i="8" s="1"/>
  <c r="AG95" i="8" s="1"/>
  <c r="AF68" i="8"/>
  <c r="AM69" i="8"/>
  <c r="AG70" i="8"/>
  <c r="AH66" i="8" s="1"/>
  <c r="AH67" i="8" s="1"/>
  <c r="AG56" i="8"/>
  <c r="AG58" i="8" s="1"/>
  <c r="AG97" i="8" s="1"/>
  <c r="AG98" i="8" s="1"/>
  <c r="AH95" i="8" s="1"/>
  <c r="AG68" i="8"/>
  <c r="J82" i="8"/>
  <c r="AN69" i="8" l="1"/>
  <c r="AH70" i="8"/>
  <c r="AI66" i="8" s="1"/>
  <c r="AI67" i="8" s="1"/>
  <c r="AH56" i="8"/>
  <c r="AH58" i="8" s="1"/>
  <c r="AH97" i="8" s="1"/>
  <c r="AH98" i="8" s="1"/>
  <c r="AI95" i="8" s="1"/>
  <c r="AH68" i="8"/>
  <c r="J81" i="8"/>
  <c r="J79" i="8" s="1"/>
  <c r="J80" i="8"/>
  <c r="J78" i="8" s="1"/>
  <c r="AO69" i="8" l="1"/>
  <c r="AI70" i="8"/>
  <c r="AJ66" i="8" s="1"/>
  <c r="AJ67" i="8" s="1"/>
  <c r="AI56" i="8"/>
  <c r="AI58" i="8" s="1"/>
  <c r="AI97" i="8" s="1"/>
  <c r="AI98" i="8" s="1"/>
  <c r="AJ95" i="8" s="1"/>
  <c r="AI68" i="8"/>
  <c r="AP69" i="8" l="1"/>
  <c r="AJ70" i="8"/>
  <c r="AK66" i="8" s="1"/>
  <c r="AK67" i="8" s="1"/>
  <c r="AJ56" i="8"/>
  <c r="AJ58" i="8" s="1"/>
  <c r="AJ97" i="8" s="1"/>
  <c r="AJ98" i="8" s="1"/>
  <c r="AK95" i="8" s="1"/>
  <c r="AJ68" i="8"/>
  <c r="AQ69" i="8" l="1"/>
  <c r="AK70" i="8"/>
  <c r="AL66" i="8" s="1"/>
  <c r="AL67" i="8" s="1"/>
  <c r="AK56" i="8"/>
  <c r="AK58" i="8" s="1"/>
  <c r="AK97" i="8" s="1"/>
  <c r="AK98" i="8" s="1"/>
  <c r="AL95" i="8" s="1"/>
  <c r="AK68" i="8"/>
  <c r="AR69" i="8" l="1"/>
  <c r="AL70" i="8"/>
  <c r="AM66" i="8" s="1"/>
  <c r="AM67" i="8" s="1"/>
  <c r="AL56" i="8"/>
  <c r="AL58" i="8" s="1"/>
  <c r="AL97" i="8" s="1"/>
  <c r="AL98" i="8" s="1"/>
  <c r="AM95" i="8" s="1"/>
  <c r="AL68" i="8"/>
  <c r="AS69" i="8" l="1"/>
  <c r="AM70" i="8"/>
  <c r="AN66" i="8" s="1"/>
  <c r="AN67" i="8" s="1"/>
  <c r="AM56" i="8"/>
  <c r="AM58" i="8" s="1"/>
  <c r="AM97" i="8" s="1"/>
  <c r="AM98" i="8" s="1"/>
  <c r="AN95" i="8" s="1"/>
  <c r="AM68" i="8"/>
  <c r="AT69" i="8" l="1"/>
  <c r="AN70" i="8"/>
  <c r="AO66" i="8" s="1"/>
  <c r="AN56" i="8"/>
  <c r="AN58" i="8" s="1"/>
  <c r="AN97" i="8" s="1"/>
  <c r="AN98" i="8" s="1"/>
  <c r="AO95" i="8" s="1"/>
  <c r="AN68" i="8"/>
  <c r="AU69" i="8" l="1"/>
  <c r="AO67" i="8"/>
  <c r="AO70" i="8" s="1"/>
  <c r="AP66" i="8" s="1"/>
  <c r="AO56" i="8" l="1"/>
  <c r="AO58" i="8" s="1"/>
  <c r="AO97" i="8" s="1"/>
  <c r="AO98" i="8" s="1"/>
  <c r="AP95" i="8" s="1"/>
  <c r="AO68" i="8"/>
  <c r="AV69" i="8"/>
  <c r="AP67" i="8"/>
  <c r="AW69" i="8" l="1"/>
  <c r="AP56" i="8"/>
  <c r="AP58" i="8" s="1"/>
  <c r="AP97" i="8" s="1"/>
  <c r="AP98" i="8" s="1"/>
  <c r="AQ95" i="8" s="1"/>
  <c r="AP68" i="8"/>
  <c r="AP70" i="8"/>
  <c r="AQ66" i="8" s="1"/>
  <c r="AQ67" i="8" s="1"/>
  <c r="AX69" i="8" l="1"/>
  <c r="AQ70" i="8"/>
  <c r="AR66" i="8" s="1"/>
  <c r="AR67" i="8" s="1"/>
  <c r="AQ56" i="8"/>
  <c r="AQ58" i="8" s="1"/>
  <c r="AQ97" i="8" s="1"/>
  <c r="AQ98" i="8" s="1"/>
  <c r="AR95" i="8" s="1"/>
  <c r="AQ68" i="8"/>
  <c r="AY69" i="8" l="1"/>
  <c r="AR70" i="8"/>
  <c r="AS66" i="8" s="1"/>
  <c r="AS67" i="8" s="1"/>
  <c r="AR56" i="8"/>
  <c r="AR58" i="8" s="1"/>
  <c r="AR97" i="8" s="1"/>
  <c r="AR98" i="8" s="1"/>
  <c r="AS95" i="8" s="1"/>
  <c r="AR68" i="8"/>
  <c r="AZ69" i="8" l="1"/>
  <c r="AS70" i="8"/>
  <c r="AT66" i="8" s="1"/>
  <c r="AT67" i="8" s="1"/>
  <c r="AS56" i="8"/>
  <c r="AS58" i="8" s="1"/>
  <c r="AS97" i="8" s="1"/>
  <c r="AS98" i="8" s="1"/>
  <c r="AT95" i="8" s="1"/>
  <c r="AS68" i="8"/>
  <c r="BA69" i="8" l="1"/>
  <c r="AT70" i="8"/>
  <c r="AU66" i="8" s="1"/>
  <c r="AU67" i="8" s="1"/>
  <c r="AT56" i="8"/>
  <c r="AT58" i="8" s="1"/>
  <c r="AT97" i="8" s="1"/>
  <c r="AT98" i="8" s="1"/>
  <c r="AU95" i="8" s="1"/>
  <c r="AT68" i="8"/>
  <c r="BB69" i="8" l="1"/>
  <c r="AU70" i="8"/>
  <c r="AV66" i="8" s="1"/>
  <c r="AV67" i="8" s="1"/>
  <c r="AU56" i="8"/>
  <c r="AU58" i="8" s="1"/>
  <c r="AU97" i="8" s="1"/>
  <c r="AU98" i="8" s="1"/>
  <c r="AV95" i="8" s="1"/>
  <c r="AU68" i="8"/>
  <c r="BC69" i="8" l="1"/>
  <c r="AV70" i="8"/>
  <c r="AW66" i="8" s="1"/>
  <c r="AV56" i="8"/>
  <c r="AV58" i="8" s="1"/>
  <c r="AV97" i="8" s="1"/>
  <c r="AV98" i="8" s="1"/>
  <c r="AW95" i="8" s="1"/>
  <c r="AV68" i="8"/>
  <c r="BD69" i="8" l="1"/>
  <c r="AW67" i="8"/>
  <c r="AW70" i="8" s="1"/>
  <c r="AX66" i="8" s="1"/>
  <c r="AW56" i="8" l="1"/>
  <c r="AW58" i="8" s="1"/>
  <c r="AW97" i="8" s="1"/>
  <c r="AW98" i="8" s="1"/>
  <c r="AX95" i="8" s="1"/>
  <c r="AW68" i="8"/>
  <c r="BE69" i="8"/>
  <c r="AX67" i="8"/>
  <c r="AX56" i="8" l="1"/>
  <c r="AX58" i="8" s="1"/>
  <c r="AX97" i="8" s="1"/>
  <c r="AX98" i="8" s="1"/>
  <c r="AY95" i="8" s="1"/>
  <c r="AX68" i="8"/>
  <c r="BF69" i="8"/>
  <c r="AX70" i="8"/>
  <c r="AY66" i="8" s="1"/>
  <c r="AY67" i="8" s="1"/>
  <c r="BG69" i="8" l="1"/>
  <c r="AY70" i="8"/>
  <c r="AZ66" i="8" s="1"/>
  <c r="AZ67" i="8" s="1"/>
  <c r="AY56" i="8"/>
  <c r="AY58" i="8" s="1"/>
  <c r="AY97" i="8" s="1"/>
  <c r="AY98" i="8" s="1"/>
  <c r="AZ95" i="8" s="1"/>
  <c r="AY68" i="8"/>
  <c r="AZ70" i="8" l="1"/>
  <c r="BA66" i="8" s="1"/>
  <c r="BA67" i="8" s="1"/>
  <c r="AZ56" i="8"/>
  <c r="AZ58" i="8" s="1"/>
  <c r="AZ97" i="8" s="1"/>
  <c r="AZ98" i="8" s="1"/>
  <c r="BA95" i="8" s="1"/>
  <c r="AZ68" i="8"/>
  <c r="BA70" i="8" l="1"/>
  <c r="BB66" i="8" s="1"/>
  <c r="BB67" i="8" s="1"/>
  <c r="BA56" i="8"/>
  <c r="BA58" i="8" s="1"/>
  <c r="BA97" i="8" s="1"/>
  <c r="BA98" i="8" s="1"/>
  <c r="BB95" i="8" s="1"/>
  <c r="BA68" i="8"/>
  <c r="BB70" i="8" l="1"/>
  <c r="BC66" i="8" s="1"/>
  <c r="BC67" i="8" s="1"/>
  <c r="BB56" i="8"/>
  <c r="BB58" i="8" s="1"/>
  <c r="BB97" i="8" s="1"/>
  <c r="BB98" i="8" s="1"/>
  <c r="BC95" i="8" s="1"/>
  <c r="BB68" i="8"/>
  <c r="BC70" i="8" l="1"/>
  <c r="BD66" i="8" s="1"/>
  <c r="BD67" i="8" s="1"/>
  <c r="BC56" i="8"/>
  <c r="BC58" i="8" s="1"/>
  <c r="BC97" i="8" s="1"/>
  <c r="BC98" i="8" s="1"/>
  <c r="BD95" i="8" s="1"/>
  <c r="BC68" i="8"/>
  <c r="BD70" i="8" l="1"/>
  <c r="BE66" i="8" s="1"/>
  <c r="BE67" i="8" s="1"/>
  <c r="BD56" i="8"/>
  <c r="BD58" i="8" s="1"/>
  <c r="BD97" i="8" s="1"/>
  <c r="BD98" i="8" s="1"/>
  <c r="BE95" i="8" s="1"/>
  <c r="BD68" i="8"/>
  <c r="BE70" i="8" l="1"/>
  <c r="BF66" i="8" s="1"/>
  <c r="BF67" i="8" s="1"/>
  <c r="BE56" i="8"/>
  <c r="BE58" i="8" s="1"/>
  <c r="BE97" i="8" s="1"/>
  <c r="BE98" i="8" s="1"/>
  <c r="BF95" i="8" s="1"/>
  <c r="BE68" i="8"/>
  <c r="BF70" i="8" l="1"/>
  <c r="BG66" i="8" s="1"/>
  <c r="BF56" i="8"/>
  <c r="BF58" i="8" s="1"/>
  <c r="BF97" i="8" s="1"/>
  <c r="BF98" i="8" s="1"/>
  <c r="BG95" i="8" s="1"/>
  <c r="BF68" i="8"/>
  <c r="BG67" i="8" l="1"/>
  <c r="BG70" i="8" s="1"/>
  <c r="A70" i="8" s="1"/>
  <c r="BG56" i="8" l="1"/>
  <c r="BG58" i="8" s="1"/>
  <c r="BG97" i="8" s="1"/>
  <c r="BG98" i="8" s="1"/>
  <c r="A98" i="8" s="1"/>
  <c r="BG68" i="8"/>
</calcChain>
</file>

<file path=xl/comments1.xml><?xml version="1.0" encoding="utf-8"?>
<comments xmlns="http://schemas.openxmlformats.org/spreadsheetml/2006/main">
  <authors>
    <author>Author</author>
  </authors>
  <commentList>
    <comment ref="E26" authorId="0">
      <text>
        <r>
          <rPr>
            <sz val="10"/>
            <color indexed="81"/>
            <rFont val="Tahoma"/>
            <family val="2"/>
          </rPr>
          <t>Lower rate reflects shorter regulatory period of 9 months</t>
        </r>
      </text>
    </comment>
    <comment ref="G81" authorId="0">
      <text>
        <r>
          <rPr>
            <sz val="10"/>
            <color indexed="81"/>
            <rFont val="Tahoma"/>
            <family val="2"/>
          </rPr>
          <t>Sum included in price cap at time of 2010 compliance report, in Jan 2011 prices</t>
        </r>
      </text>
    </comment>
    <comment ref="H81" authorId="0">
      <text>
        <r>
          <rPr>
            <sz val="10"/>
            <color indexed="81"/>
            <rFont val="Tahoma"/>
            <family val="2"/>
          </rPr>
          <t>annuity allowed in 2007 determination, 
in Jan 2011 prices</t>
        </r>
      </text>
    </comment>
    <comment ref="I81" authorId="0">
      <text>
        <r>
          <rPr>
            <sz val="10"/>
            <color indexed="81"/>
            <rFont val="Tahoma"/>
            <family val="2"/>
          </rPr>
          <t>annuity allowed in 2007 determination, 
in Jan 2011 prices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95" authorId="0">
      <text>
        <r>
          <rPr>
            <sz val="10"/>
            <color indexed="81"/>
            <rFont val="Tahoma"/>
            <family val="2"/>
          </rPr>
          <t>Clarify 20k discrepancy in IAA source data compared to previous table</t>
        </r>
      </text>
    </comment>
  </commentList>
</comments>
</file>

<file path=xl/sharedStrings.xml><?xml version="1.0" encoding="utf-8"?>
<sst xmlns="http://schemas.openxmlformats.org/spreadsheetml/2006/main" count="573" uniqueCount="263">
  <si>
    <t>Total</t>
  </si>
  <si>
    <t>Closing RAB</t>
  </si>
  <si>
    <t>Revenues</t>
  </si>
  <si>
    <t>Capex</t>
  </si>
  <si>
    <t>Opening RAB</t>
  </si>
  <si>
    <t>MTOW</t>
  </si>
  <si>
    <t>%</t>
  </si>
  <si>
    <t>RAB at the start of the year</t>
  </si>
  <si>
    <t>Regulation</t>
  </si>
  <si>
    <t>Finance</t>
  </si>
  <si>
    <t>Training</t>
  </si>
  <si>
    <t>Payroll</t>
  </si>
  <si>
    <t>Utilities</t>
  </si>
  <si>
    <t>Telecommunications</t>
  </si>
  <si>
    <t>Other Operating costs</t>
  </si>
  <si>
    <t>Subscriptions</t>
  </si>
  <si>
    <t>Administration</t>
  </si>
  <si>
    <t>Other</t>
  </si>
  <si>
    <t>Forecast</t>
  </si>
  <si>
    <t>Actual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</si>
  <si>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</si>
  <si>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</si>
  <si>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</si>
  <si>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</si>
  <si>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</si>
  <si>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</si>
  <si>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</si>
  <si>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</si>
  <si>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</si>
  <si>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Dublin Tower</t>
  </si>
  <si>
    <t>Cork Tower</t>
  </si>
  <si>
    <t>Depreciation</t>
  </si>
  <si>
    <t>Buildings &amp; Security</t>
  </si>
  <si>
    <t>ICT</t>
  </si>
  <si>
    <t>Data Communications</t>
  </si>
  <si>
    <t>Flight Data Processing (FDP)</t>
  </si>
  <si>
    <t>Surveillance</t>
  </si>
  <si>
    <t>Navigational aids</t>
  </si>
  <si>
    <t>Communications</t>
  </si>
  <si>
    <t>Dublin</t>
  </si>
  <si>
    <t>Difference</t>
  </si>
  <si>
    <t>Return</t>
  </si>
  <si>
    <t>Average RAB</t>
  </si>
  <si>
    <t>Baseline</t>
  </si>
  <si>
    <t xml:space="preserve">Training </t>
  </si>
  <si>
    <t>Pensions</t>
  </si>
  <si>
    <t>Allowed cost of capital, pre-tax</t>
  </si>
  <si>
    <t>Traffic</t>
  </si>
  <si>
    <t>Outturn</t>
  </si>
  <si>
    <t>TSU</t>
  </si>
  <si>
    <t>Staff costs by category</t>
  </si>
  <si>
    <t>[1]</t>
  </si>
  <si>
    <t>Payroll and related costs</t>
  </si>
  <si>
    <t>[2]</t>
  </si>
  <si>
    <t>Pension costs</t>
  </si>
  <si>
    <t>[3]</t>
  </si>
  <si>
    <t xml:space="preserve"> Total staff costs = [1]+[2]</t>
  </si>
  <si>
    <t xml:space="preserve">Other operating costs </t>
  </si>
  <si>
    <t>[4]</t>
  </si>
  <si>
    <t>[5]</t>
  </si>
  <si>
    <t>Travel and subsistence</t>
  </si>
  <si>
    <t>[6]</t>
  </si>
  <si>
    <t>[7]</t>
  </si>
  <si>
    <t>[8]</t>
  </si>
  <si>
    <t>[9]</t>
  </si>
  <si>
    <t>[10]</t>
  </si>
  <si>
    <t>[11]</t>
  </si>
  <si>
    <t>Meteorological</t>
  </si>
  <si>
    <t>[12]</t>
  </si>
  <si>
    <t>[13]</t>
  </si>
  <si>
    <t>[14]</t>
  </si>
  <si>
    <t xml:space="preserve"> Total other costs  = Sum([4],...,[13])</t>
  </si>
  <si>
    <t>[15]</t>
  </si>
  <si>
    <t>[16]</t>
  </si>
  <si>
    <t>Cost of capital</t>
  </si>
  <si>
    <t>[17]</t>
  </si>
  <si>
    <t>Exceptional items (*)</t>
  </si>
  <si>
    <t>[18]</t>
  </si>
  <si>
    <t>Total operating costs = [3]+[14]+[15]+[16]+[17]</t>
  </si>
  <si>
    <t>Total capital expenditure by category</t>
  </si>
  <si>
    <t>Total  capital expenditure</t>
  </si>
  <si>
    <t>Price Cap Summary</t>
  </si>
  <si>
    <t>Spreadsheet Information</t>
  </si>
  <si>
    <t>RAB at the end of the year</t>
  </si>
  <si>
    <t>Discount Rates</t>
  </si>
  <si>
    <t>WACC</t>
  </si>
  <si>
    <t>Average Rate of Return</t>
  </si>
  <si>
    <t>Return on Assets</t>
  </si>
  <si>
    <t>Operating Expenditure</t>
  </si>
  <si>
    <t>Regulatory Levy</t>
  </si>
  <si>
    <t>Adjustments</t>
  </si>
  <si>
    <t>Allowed Revenues</t>
  </si>
  <si>
    <t>Milestones</t>
  </si>
  <si>
    <t>€</t>
  </si>
  <si>
    <t>OPEX</t>
  </si>
  <si>
    <t>Asset Lives</t>
  </si>
  <si>
    <t>Multiple to convert nominal to Jan 2011 prices</t>
  </si>
  <si>
    <t>Opex - IAA submission 28 February 2011 (nominal €000)</t>
  </si>
  <si>
    <r>
      <t xml:space="preserve">(*)   Please provide notes detailing any </t>
    </r>
    <r>
      <rPr>
        <i/>
        <sz val="9"/>
        <color indexed="8"/>
        <rFont val="Verdana"/>
        <family val="2"/>
      </rPr>
      <t>exceptional items</t>
    </r>
  </si>
  <si>
    <r>
      <t> </t>
    </r>
    <r>
      <rPr>
        <b/>
        <sz val="9"/>
        <color indexed="8"/>
        <rFont val="Verdana"/>
        <family val="2"/>
      </rPr>
      <t>Table 2 – opex</t>
    </r>
  </si>
  <si>
    <t>subject to Audit</t>
  </si>
  <si>
    <t>Table 2</t>
  </si>
  <si>
    <t>Outturn traffic volumes, 2007 – 2010, and projections, 2011 (TSU)</t>
  </si>
  <si>
    <t>Outturn traffic volumes, 2007 – 2010, and projections, 2011 (MTOW '000s)</t>
  </si>
  <si>
    <t>Traffic volumes projected at the time of the 2007 Determination (MTOW '000s)</t>
  </si>
  <si>
    <t>Projection</t>
  </si>
  <si>
    <t>Table 1 – Traffic Volumes</t>
  </si>
  <si>
    <t>Table 1</t>
  </si>
  <si>
    <t>Table 3</t>
  </si>
  <si>
    <t>Capital Expenditure Programme</t>
  </si>
  <si>
    <r>
      <t> </t>
    </r>
    <r>
      <rPr>
        <b/>
        <sz val="9"/>
        <color indexed="8"/>
        <rFont val="Verdana"/>
        <family val="2"/>
      </rPr>
      <t>Table 3 - Capital expenditure (nominal)</t>
    </r>
  </si>
  <si>
    <t>Capex allowance in the 2007 Determination (*)</t>
  </si>
  <si>
    <t>2007-11</t>
  </si>
  <si>
    <t>Cork Tower Costs (included above)</t>
  </si>
  <si>
    <t>Actual   /  Forecast</t>
  </si>
  <si>
    <t>2012-16</t>
  </si>
  <si>
    <t>Opex (real €'000, January 2011 CPI = 101.7)</t>
  </si>
  <si>
    <t>Post-2011 Capex</t>
  </si>
  <si>
    <t>Capex (real €'000, Jan 2011 CPI = 101.7)</t>
  </si>
  <si>
    <t>(Non-milestone) Depreciation (real €'000, Jan 2011 CPI = 101.7)</t>
  </si>
  <si>
    <t>Capex - IAA submission 28 February 2011 (nominal €'000)</t>
  </si>
  <si>
    <t>depreciate</t>
  </si>
  <si>
    <t>depreciation</t>
  </si>
  <si>
    <t>(2012-2023)</t>
  </si>
  <si>
    <t>DEPRECIATION ON 2012-2015 CAPEX</t>
  </si>
  <si>
    <t>Total (excl. Milestones) depreciation</t>
  </si>
  <si>
    <t>€m</t>
  </si>
  <si>
    <t>2007 9m</t>
  </si>
  <si>
    <t>Capex (excl. Milestones)</t>
  </si>
  <si>
    <t>Accounting return</t>
  </si>
  <si>
    <t>Maximum terminal charge per TSU</t>
  </si>
  <si>
    <t>Maximum terminal charge per MTOW</t>
  </si>
  <si>
    <t>Post Reconciliation</t>
  </si>
  <si>
    <t>Asset life</t>
  </si>
  <si>
    <t>y</t>
  </si>
  <si>
    <t>&lt;--- top-up to 2012 starting RAB if no interest payments clawed back or topped up</t>
  </si>
  <si>
    <t>2011 Commission Allowance</t>
  </si>
  <si>
    <t>2011 prices</t>
  </si>
  <si>
    <t>CPI (CSO December 2006=100)</t>
  </si>
  <si>
    <t>Trigger not met</t>
  </si>
  <si>
    <t>Trigger met</t>
  </si>
  <si>
    <t>IAA to keep interest associated with Cork tower savings/lose interest associated with cost overrun?</t>
  </si>
  <si>
    <t>Inflation index (Jan 2011 CPI=101.7)</t>
  </si>
  <si>
    <t xml:space="preserve">Sum to </t>
  </si>
  <si>
    <t xml:space="preserve">Cumulative </t>
  </si>
  <si>
    <t>From 2007 determination €m</t>
  </si>
  <si>
    <t>2007 determination in 2011 prices €m</t>
  </si>
  <si>
    <t xml:space="preserve"> 2006 prices (2001=100), CPI = 115.7</t>
  </si>
  <si>
    <t>Restated RAB</t>
  </si>
  <si>
    <t>Jan 2011 prices (2006=100), CPI = 101.7</t>
  </si>
  <si>
    <t>Record of inflation assumptions</t>
  </si>
  <si>
    <t>January 2011 index (Dec 2006=100 base)</t>
  </si>
  <si>
    <t>Source: CSO</t>
  </si>
  <si>
    <t>Year</t>
  </si>
  <si>
    <t>Annual index         (base Dec 2006=100)</t>
  </si>
  <si>
    <t>Inflation Forecast</t>
  </si>
  <si>
    <t>Multiplier to convert into Jan 2011 prices</t>
  </si>
  <si>
    <t>Rationale: IAA National Performance Plan (and ESRI for final year)</t>
  </si>
  <si>
    <t>Input data either from IAA or from earlier determinations</t>
  </si>
  <si>
    <t>Calculations made from input data for 2011 IAA determination</t>
  </si>
  <si>
    <t>Policy decision for 2011 IAA determination</t>
  </si>
  <si>
    <t>Net investment (non-milestone)</t>
  </si>
  <si>
    <t>Total pay plus non-pay nominal opex costs</t>
  </si>
  <si>
    <t>Total pay plus non-pay real opex costs</t>
  </si>
  <si>
    <t xml:space="preserve">Traffic Forecast for Irish Terminal Traffic </t>
  </si>
  <si>
    <t>Sources:</t>
  </si>
  <si>
    <t>Movements</t>
  </si>
  <si>
    <t>High</t>
  </si>
  <si>
    <t>Low</t>
  </si>
  <si>
    <t>Growth Rates</t>
  </si>
  <si>
    <t>Terminal Service Units</t>
  </si>
  <si>
    <t>IAA Number of Movements</t>
  </si>
  <si>
    <t>Arrival/Departure</t>
  </si>
  <si>
    <t>Baseline Arrival/Departure</t>
  </si>
  <si>
    <t>Quotient to the power of 0.9</t>
  </si>
  <si>
    <t>Quotient to the power of 0.8</t>
  </si>
  <si>
    <t>Quotient to the power of 0.7</t>
  </si>
  <si>
    <t>High Arrival/Departure</t>
  </si>
  <si>
    <t>Low Arrival/Departure</t>
  </si>
  <si>
    <t>Total capex (non-milestone)</t>
  </si>
  <si>
    <t>Revenue (annuity)</t>
  </si>
  <si>
    <t>CPI basis Jan 2011=101.7 (2006 = 100)</t>
  </si>
  <si>
    <t>Discounted sum</t>
  </si>
  <si>
    <t>Dublin Tower (annuity)</t>
  </si>
  <si>
    <t>Allowed revenues (MTOW*cap)</t>
  </si>
  <si>
    <t>Allowed revenues (TSU to 0.9 quotient*cap)</t>
  </si>
  <si>
    <t>2012-2015 (NON-MILESTONE) CAPEX</t>
  </si>
  <si>
    <t>Total non-milestone actual nominal capital expenditure</t>
  </si>
  <si>
    <t>Date Cork Tower [ready for operations]</t>
  </si>
  <si>
    <t>Start of 2010</t>
  </si>
  <si>
    <t>Interest rate to apply in 2009</t>
  </si>
  <si>
    <t>Number of days operationally ready in 2009</t>
  </si>
  <si>
    <t>CP4/2007</t>
  </si>
  <si>
    <t xml:space="preserve">2007 allowance </t>
  </si>
  <si>
    <t>Nominal</t>
  </si>
  <si>
    <t xml:space="preserve">Cork </t>
  </si>
  <si>
    <t>Actual spend</t>
  </si>
  <si>
    <t>Outturn total tower costs (€m.)</t>
  </si>
  <si>
    <t>CPI (2006=100)</t>
  </si>
  <si>
    <t>n</t>
  </si>
  <si>
    <t>Capex allowance 2012-2023</t>
  </si>
  <si>
    <t>&lt;--- top-up to 2012 starting RAB if Dublin tower expenditure allowed although trigger not met</t>
  </si>
  <si>
    <t>Revenue allowed under 2007 determination</t>
  </si>
  <si>
    <t>Remaining asset life</t>
  </si>
  <si>
    <t>Revenue</t>
  </si>
  <si>
    <t>RECONCILING 2007-2011 MILESTONE CAPEX</t>
  </si>
  <si>
    <t xml:space="preserve">Payroll and related costs </t>
  </si>
  <si>
    <t xml:space="preserve">Pension costs </t>
  </si>
  <si>
    <t xml:space="preserve">Difference </t>
  </si>
  <si>
    <t>Target Staff + Training Costs</t>
  </si>
  <si>
    <t>Commission Target as % IAA Request</t>
  </si>
  <si>
    <t>Total Opex Forecast - Commission Target (€ '000)</t>
  </si>
  <si>
    <t>Estimation of annuities</t>
  </si>
  <si>
    <t>Asset life remaining:</t>
  </si>
  <si>
    <t>Annuity for Cork tower post 2011</t>
  </si>
  <si>
    <t>Annuity for Dublin tower post 2011</t>
  </si>
  <si>
    <t>Dublin tower</t>
  </si>
  <si>
    <t>2007 prices</t>
  </si>
  <si>
    <t>Assumed elasticity</t>
  </si>
  <si>
    <t xml:space="preserve">Generating an opex target for Draft Determination by adjusting 2006 opex levels to control for change in traffic levels </t>
  </si>
  <si>
    <t>Opex in 2006</t>
  </si>
  <si>
    <t>IAA 2015 forecast opex</t>
  </si>
  <si>
    <t>Target 2015 opex</t>
  </si>
  <si>
    <t>Step 1: Determine target opex for 2015</t>
  </si>
  <si>
    <t>Forecast change in ATM between 2006 and 2015</t>
  </si>
  <si>
    <t>Step 2: Develop profile for staff and training costs to realise all savings in this area in equal increments between 2011 and 2015</t>
  </si>
  <si>
    <t>IAA forecast FTE Costs</t>
  </si>
  <si>
    <t>IAA forecast training costs</t>
  </si>
  <si>
    <t>IAA forecast staff costs (incl training)</t>
  </si>
  <si>
    <t>Staff costs (incl training) to realise Commission target with no other opex savings</t>
  </si>
  <si>
    <t>Difference between 2011 and target 2015 staff costs (incl training)</t>
  </si>
  <si>
    <t>Total Opex Forecast - Commission Target (€)</t>
  </si>
  <si>
    <t>€'000</t>
  </si>
  <si>
    <t>Factor to convert into Jan 2011 prices</t>
  </si>
  <si>
    <t>Calculating opening 2012 RAB given clawback of unspent capex and interest on capex</t>
  </si>
  <si>
    <t>Step 3: Annual opex targets estimated given target staff and training cost targets</t>
  </si>
  <si>
    <t>Cork tower allowed capex</t>
  </si>
  <si>
    <t>Real (Jan 2011 prices)</t>
  </si>
  <si>
    <t>MILESTONE CAPEX</t>
  </si>
  <si>
    <t>NON-MILESTONE CAPEX</t>
  </si>
  <si>
    <t>Opening RAB 2012</t>
  </si>
  <si>
    <t>Allowed capex - non-milestone</t>
  </si>
  <si>
    <t>Reg depreciation - non-milestone</t>
  </si>
  <si>
    <t>DERIVING 2012 OPENING RAB</t>
  </si>
  <si>
    <t>Opening RAB 2007</t>
  </si>
  <si>
    <t>Dublin tower allowed capex</t>
  </si>
  <si>
    <t>Dublin tower depreciation</t>
  </si>
  <si>
    <t>Cork tower depreciation</t>
  </si>
  <si>
    <t>Return + depreciation</t>
  </si>
  <si>
    <t>IAA to keep interest associated with Dublin tower savings/lose interest associated with cost overrun?</t>
  </si>
  <si>
    <t>VALUE OF CORK TOWER CAPEX STILL TO BE RECOVERED START 2012</t>
  </si>
  <si>
    <t>Capex allowed post reconciliation (excl Milestones)</t>
  </si>
  <si>
    <t>Total depreciation allowance</t>
  </si>
  <si>
    <t>TOTAL DEPRECIATION POST 2011</t>
  </si>
  <si>
    <t>ANNUITY CALCULATIONS</t>
  </si>
  <si>
    <t>Capex (excl. Dublin tower)</t>
  </si>
  <si>
    <t xml:space="preserve">Implied depreciation from Cork tower annuity </t>
  </si>
  <si>
    <t>EVOLUTION OF RAB (assuming no capex after 2015)</t>
  </si>
  <si>
    <t>(maximum if Dublin tower milestone achieved)</t>
  </si>
  <si>
    <t>Table estimating required annuity for asset that has opening RAB of 100 when asset life is 2</t>
  </si>
  <si>
    <t>2006 - 2016 Eurocontrol records of Arrival/Departure categories of traffic for Ireland</t>
  </si>
  <si>
    <t xml:space="preserve">2001 - 2005 IAA </t>
  </si>
  <si>
    <t>Depreciation on assets pre-2012 (excl. Cork tower)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</si>
</sst>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,\ ;\(#,##0,\)"/>
    <numFmt numFmtId="165" formatCode="#,##0\ ;\(#,##0\)"/>
    <numFmt numFmtId="166" formatCode="0.0%"/>
    <numFmt numFmtId="167" formatCode="#,##0;\(#,##0\)"/>
    <numFmt numFmtId="168" formatCode="###0"/>
    <numFmt numFmtId="169" formatCode="_-[$€]* #,##0.00_-;\-[$€]* #,##0.00_-;_-[$€]* &quot;-&quot;??_-;_-@_-"/>
    <numFmt numFmtId="170" formatCode="#,##0.00;\(#,##0.00\)"/>
    <numFmt numFmtId="171" formatCode="0.0"/>
    <numFmt numFmtId="172" formatCode="0.000"/>
    <numFmt numFmtId="173" formatCode="_-* #,##0.000_-;\-* #,##0.000_-;_-* &quot;-&quot;??_-;_-@_-"/>
    <numFmt numFmtId="174" formatCode="0.0000"/>
    <numFmt numFmtId="175" formatCode="#.0,,"/>
    <numFmt numFmtId="176" formatCode="_-* #,##0_-;\-* #,##0_-;_-* &quot;-&quot;??_-;_-@_-"/>
    <numFmt numFmtId="177" formatCode="#.00,,"/>
    <numFmt numFmtId="178" formatCode="#.00,,\ ;\(#.00,,\)"/>
    <numFmt numFmtId="179" formatCode="_-* #,##0.0_-;\-* #,##0.0_-;_-* &quot;-&quot;??_-;_-@_-"/>
    <numFmt numFmtId="180" formatCode="_-* #,##0.0000_-;\-* #,##0.0000_-;_-* &quot;-&quot;??_-;_-@_-"/>
  </numFmts>
  <fonts count="69">
    <font>
      <sz val="10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Stone Sans"/>
      <family val="2"/>
    </font>
    <font>
      <sz val="8"/>
      <name val="Times New Roman"/>
      <family val="1"/>
    </font>
    <font>
      <sz val="9"/>
      <name val="Stone Sans"/>
    </font>
    <font>
      <sz val="8"/>
      <name val="Arial"/>
      <family val="2"/>
    </font>
    <font>
      <b/>
      <sz val="10"/>
      <name val="Arial"/>
      <family val="2"/>
    </font>
    <font>
      <sz val="10"/>
      <name val="Helv"/>
    </font>
    <font>
      <sz val="10"/>
      <name val="Stone Sans"/>
      <family val="2"/>
    </font>
    <font>
      <sz val="10"/>
      <name val="Optima"/>
    </font>
    <font>
      <sz val="8"/>
      <name val="Arial"/>
      <family val="2"/>
    </font>
    <font>
      <b/>
      <i/>
      <sz val="12"/>
      <name val="Arial"/>
      <family val="2"/>
    </font>
    <font>
      <sz val="8"/>
      <name val="Optima"/>
      <family val="2"/>
    </font>
    <font>
      <sz val="12"/>
      <name val="Optim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Geneva"/>
    </font>
    <font>
      <sz val="10"/>
      <color indexed="8"/>
      <name val="Times New Roman"/>
      <family val="1"/>
    </font>
    <font>
      <b/>
      <sz val="9"/>
      <color indexed="8"/>
      <name val="Verdana"/>
      <family val="2"/>
    </font>
    <font>
      <i/>
      <sz val="11"/>
      <color indexed="8"/>
      <name val="Calibri"/>
      <family val="2"/>
    </font>
    <font>
      <i/>
      <sz val="9"/>
      <color indexed="8"/>
      <name val="Verdana"/>
      <family val="2"/>
    </font>
    <font>
      <sz val="9"/>
      <color indexed="8"/>
      <name val="Verdana"/>
      <family val="2"/>
    </font>
    <font>
      <sz val="10"/>
      <color indexed="81"/>
      <name val="Tahoma"/>
      <family val="2"/>
    </font>
    <font>
      <b/>
      <sz val="11"/>
      <color indexed="9"/>
      <name val="Calibri"/>
      <family val="2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i/>
      <sz val="11"/>
      <color indexed="9"/>
      <name val="Calibri"/>
      <family val="2"/>
    </font>
    <font>
      <b/>
      <i/>
      <sz val="20"/>
      <color indexed="9"/>
      <name val="Calibri"/>
      <family val="2"/>
    </font>
    <font>
      <b/>
      <sz val="14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orbe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</font>
    <font>
      <sz val="10"/>
      <color rgb="FFFF0000"/>
      <name val="Verdana"/>
      <family val="2"/>
    </font>
    <font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8"/>
      </right>
      <top style="thick">
        <color indexed="64"/>
      </top>
      <bottom/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/>
      <right style="thin">
        <color theme="3" tint="0.59999389629810485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3" tint="0.79998168889431442"/>
      </bottom>
      <diagonal/>
    </border>
    <border>
      <left/>
      <right style="thin">
        <color theme="0" tint="-0.249977111117893"/>
      </right>
      <top/>
      <bottom style="thin">
        <color theme="3" tint="0.7999816888943144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 tint="-0.249977111117893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>
      <alignment horizontal="right"/>
    </xf>
    <xf numFmtId="0" fontId="6" fillId="0" borderId="0"/>
    <xf numFmtId="0" fontId="6" fillId="0" borderId="0">
      <alignment horizontal="right"/>
    </xf>
    <xf numFmtId="0" fontId="6" fillId="0" borderId="0">
      <alignment horizontal="right"/>
    </xf>
    <xf numFmtId="167" fontId="4" fillId="20" borderId="0">
      <protection locked="0"/>
    </xf>
    <xf numFmtId="167" fontId="4" fillId="20" borderId="0">
      <protection locked="0"/>
    </xf>
    <xf numFmtId="0" fontId="38" fillId="3" borderId="0" applyNumberFormat="0" applyBorder="0" applyAlignment="0" applyProtection="0"/>
    <xf numFmtId="0" fontId="7" fillId="0" borderId="0"/>
    <xf numFmtId="0" fontId="39" fillId="21" borderId="1" applyNumberFormat="0" applyAlignment="0" applyProtection="0"/>
    <xf numFmtId="167" fontId="4" fillId="22" borderId="0">
      <alignment horizontal="right"/>
    </xf>
    <xf numFmtId="167" fontId="4" fillId="22" borderId="0">
      <alignment horizontal="right"/>
    </xf>
    <xf numFmtId="168" fontId="4" fillId="22" borderId="0">
      <alignment horizontal="right"/>
    </xf>
    <xf numFmtId="0" fontId="31" fillId="23" borderId="2" applyNumberFormat="0" applyAlignment="0" applyProtection="0"/>
    <xf numFmtId="165" fontId="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10" fillId="0" borderId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11" fillId="0" borderId="0" applyFon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3" fillId="0" borderId="0"/>
    <xf numFmtId="0" fontId="45" fillId="7" borderId="1" applyNumberFormat="0" applyAlignment="0" applyProtection="0"/>
    <xf numFmtId="167" fontId="4" fillId="0" borderId="0">
      <protection locked="0"/>
    </xf>
    <xf numFmtId="167" fontId="10" fillId="0" borderId="0">
      <protection locked="0"/>
    </xf>
    <xf numFmtId="1" fontId="13" fillId="0" borderId="0"/>
    <xf numFmtId="0" fontId="13" fillId="0" borderId="0" applyFont="0" applyFill="0" applyBorder="0" applyAlignment="0" applyProtection="0"/>
    <xf numFmtId="0" fontId="14" fillId="0" borderId="0"/>
    <xf numFmtId="0" fontId="15" fillId="0" borderId="0"/>
    <xf numFmtId="0" fontId="46" fillId="0" borderId="6" applyNumberFormat="0" applyFill="0" applyAlignment="0" applyProtection="0"/>
    <xf numFmtId="0" fontId="1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3" fillId="0" borderId="0"/>
    <xf numFmtId="0" fontId="47" fillId="24" borderId="0" applyNumberFormat="0" applyBorder="0" applyAlignment="0" applyProtection="0"/>
    <xf numFmtId="0" fontId="54" fillId="0" borderId="0"/>
    <xf numFmtId="0" fontId="54" fillId="0" borderId="0"/>
    <xf numFmtId="0" fontId="48" fillId="0" borderId="0"/>
    <xf numFmtId="0" fontId="53" fillId="0" borderId="0"/>
    <xf numFmtId="0" fontId="4" fillId="0" borderId="0"/>
    <xf numFmtId="0" fontId="53" fillId="0" borderId="0"/>
    <xf numFmtId="0" fontId="53" fillId="0" borderId="0"/>
    <xf numFmtId="0" fontId="4" fillId="0" borderId="0"/>
    <xf numFmtId="0" fontId="53" fillId="0" borderId="0"/>
    <xf numFmtId="0" fontId="1" fillId="0" borderId="0"/>
    <xf numFmtId="0" fontId="1" fillId="25" borderId="7" applyNumberFormat="0" applyFont="0" applyAlignment="0" applyProtection="0"/>
    <xf numFmtId="166" fontId="4" fillId="0" borderId="0"/>
    <xf numFmtId="0" fontId="49" fillId="21" borderId="8" applyNumberFormat="0" applyAlignment="0" applyProtection="0"/>
    <xf numFmtId="167" fontId="4" fillId="0" borderId="0"/>
    <xf numFmtId="40" fontId="18" fillId="26" borderId="0">
      <alignment horizontal="right"/>
    </xf>
    <xf numFmtId="0" fontId="19" fillId="26" borderId="0">
      <alignment horizontal="right"/>
    </xf>
    <xf numFmtId="170" fontId="4" fillId="0" borderId="0"/>
    <xf numFmtId="167" fontId="4" fillId="0" borderId="0"/>
    <xf numFmtId="167" fontId="10" fillId="0" borderId="0"/>
    <xf numFmtId="0" fontId="20" fillId="26" borderId="9"/>
    <xf numFmtId="0" fontId="20" fillId="0" borderId="0" applyBorder="0">
      <alignment horizontal="centerContinuous"/>
    </xf>
    <xf numFmtId="0" fontId="21" fillId="0" borderId="0" applyBorder="0">
      <alignment horizontal="centerContinuous"/>
    </xf>
    <xf numFmtId="9" fontId="4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2" fillId="0" borderId="0"/>
    <xf numFmtId="0" fontId="23" fillId="0" borderId="0"/>
    <xf numFmtId="0" fontId="10" fillId="0" borderId="0"/>
    <xf numFmtId="0" fontId="22" fillId="0" borderId="0"/>
    <xf numFmtId="0" fontId="24" fillId="0" borderId="0" applyFill="0" applyBorder="0" applyAlignment="0" applyProtection="0"/>
    <xf numFmtId="0" fontId="13" fillId="0" borderId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/>
    <xf numFmtId="1" fontId="13" fillId="0" borderId="11">
      <alignment vertical="center"/>
    </xf>
    <xf numFmtId="0" fontId="6" fillId="27" borderId="0"/>
  </cellStyleXfs>
  <cellXfs count="416">
    <xf numFmtId="0" fontId="0" fillId="0" borderId="0" xfId="0"/>
    <xf numFmtId="164" fontId="0" fillId="0" borderId="0" xfId="0" applyNumberFormat="1"/>
    <xf numFmtId="10" fontId="0" fillId="0" borderId="0" xfId="92" applyNumberFormat="1" applyFont="1"/>
    <xf numFmtId="166" fontId="0" fillId="0" borderId="0" xfId="92" applyNumberFormat="1" applyFont="1"/>
    <xf numFmtId="165" fontId="0" fillId="0" borderId="0" xfId="39" applyFont="1"/>
    <xf numFmtId="172" fontId="0" fillId="0" borderId="0" xfId="0" applyNumberFormat="1"/>
    <xf numFmtId="166" fontId="0" fillId="0" borderId="0" xfId="0" applyNumberFormat="1"/>
    <xf numFmtId="0" fontId="0" fillId="0" borderId="0" xfId="0" applyBorder="1"/>
    <xf numFmtId="9" fontId="0" fillId="0" borderId="0" xfId="92" applyFont="1"/>
    <xf numFmtId="171" fontId="0" fillId="0" borderId="0" xfId="0" applyNumberFormat="1" applyBorder="1"/>
    <xf numFmtId="0" fontId="5" fillId="0" borderId="0" xfId="0" applyFont="1"/>
    <xf numFmtId="0" fontId="57" fillId="0" borderId="0" xfId="0" applyFont="1"/>
    <xf numFmtId="0" fontId="57" fillId="29" borderId="0" xfId="0" applyFont="1" applyFill="1"/>
    <xf numFmtId="41" fontId="58" fillId="0" borderId="0" xfId="0" applyNumberFormat="1" applyFont="1" applyBorder="1" applyAlignment="1">
      <alignment wrapText="1"/>
    </xf>
    <xf numFmtId="0" fontId="57" fillId="0" borderId="0" xfId="0" applyFont="1" applyBorder="1"/>
    <xf numFmtId="0" fontId="57" fillId="30" borderId="0" xfId="0" applyFont="1" applyFill="1"/>
    <xf numFmtId="0" fontId="55" fillId="0" borderId="0" xfId="0" applyFont="1" applyBorder="1"/>
    <xf numFmtId="10" fontId="53" fillId="0" borderId="0" xfId="92" applyNumberFormat="1" applyFont="1" applyBorder="1"/>
    <xf numFmtId="166" fontId="53" fillId="0" borderId="0" xfId="92" applyNumberFormat="1" applyFont="1" applyBorder="1"/>
    <xf numFmtId="9" fontId="53" fillId="0" borderId="0" xfId="92" applyFont="1" applyBorder="1"/>
    <xf numFmtId="0" fontId="53" fillId="0" borderId="0" xfId="73"/>
    <xf numFmtId="0" fontId="1" fillId="0" borderId="0" xfId="73" applyFont="1"/>
    <xf numFmtId="0" fontId="26" fillId="0" borderId="12" xfId="73" applyFont="1" applyBorder="1"/>
    <xf numFmtId="0" fontId="2" fillId="0" borderId="13" xfId="73" applyFont="1" applyBorder="1" applyAlignment="1">
      <alignment horizontal="center"/>
    </xf>
    <xf numFmtId="0" fontId="29" fillId="0" borderId="14" xfId="73" applyFont="1" applyBorder="1"/>
    <xf numFmtId="0" fontId="1" fillId="0" borderId="0" xfId="73" applyFont="1" applyAlignment="1">
      <alignment horizontal="center"/>
    </xf>
    <xf numFmtId="0" fontId="25" fillId="0" borderId="0" xfId="73" applyFont="1"/>
    <xf numFmtId="0" fontId="26" fillId="0" borderId="14" xfId="73" applyFont="1" applyBorder="1"/>
    <xf numFmtId="0" fontId="2" fillId="0" borderId="0" xfId="73" applyFont="1" applyAlignment="1">
      <alignment horizontal="center"/>
    </xf>
    <xf numFmtId="0" fontId="28" fillId="0" borderId="14" xfId="73" applyFont="1" applyBorder="1"/>
    <xf numFmtId="0" fontId="27" fillId="0" borderId="14" xfId="73" applyFont="1" applyBorder="1"/>
    <xf numFmtId="0" fontId="25" fillId="0" borderId="15" xfId="73" applyFont="1" applyBorder="1"/>
    <xf numFmtId="0" fontId="29" fillId="0" borderId="16" xfId="73" applyFont="1" applyBorder="1" applyAlignment="1">
      <alignment horizontal="center"/>
    </xf>
    <xf numFmtId="0" fontId="29" fillId="0" borderId="17" xfId="73" applyFont="1" applyBorder="1" applyAlignment="1">
      <alignment horizontal="center"/>
    </xf>
    <xf numFmtId="0" fontId="25" fillId="0" borderId="16" xfId="73" applyFont="1" applyBorder="1" applyAlignment="1">
      <alignment wrapText="1"/>
    </xf>
    <xf numFmtId="0" fontId="26" fillId="0" borderId="18" xfId="73" applyFont="1" applyBorder="1" applyAlignment="1">
      <alignment horizontal="center" vertical="center"/>
    </xf>
    <xf numFmtId="0" fontId="26" fillId="0" borderId="13" xfId="73" applyFont="1" applyBorder="1" applyAlignment="1">
      <alignment horizontal="center" vertical="center"/>
    </xf>
    <xf numFmtId="0" fontId="26" fillId="0" borderId="19" xfId="73" applyFont="1" applyBorder="1" applyAlignment="1">
      <alignment horizontal="center" vertical="center"/>
    </xf>
    <xf numFmtId="0" fontId="26" fillId="0" borderId="20" xfId="73" applyFont="1" applyBorder="1" applyAlignment="1">
      <alignment horizontal="center" vertical="center"/>
    </xf>
    <xf numFmtId="0" fontId="26" fillId="0" borderId="21" xfId="73" applyFont="1" applyBorder="1" applyAlignment="1">
      <alignment horizontal="center" vertical="center" wrapText="1"/>
    </xf>
    <xf numFmtId="0" fontId="29" fillId="0" borderId="12" xfId="73" applyFont="1" applyBorder="1" applyAlignment="1">
      <alignment horizontal="center" vertical="center"/>
    </xf>
    <xf numFmtId="0" fontId="1" fillId="0" borderId="0" xfId="73" applyFont="1" applyAlignment="1">
      <alignment horizontal="center" vertical="center"/>
    </xf>
    <xf numFmtId="0" fontId="26" fillId="0" borderId="19" xfId="73" applyFont="1" applyBorder="1" applyAlignment="1">
      <alignment horizontal="center" wrapText="1"/>
    </xf>
    <xf numFmtId="0" fontId="26" fillId="0" borderId="22" xfId="73" applyFont="1" applyBorder="1" applyAlignment="1">
      <alignment horizontal="center" wrapText="1"/>
    </xf>
    <xf numFmtId="0" fontId="29" fillId="0" borderId="23" xfId="73" applyFont="1" applyBorder="1" applyAlignment="1">
      <alignment horizontal="center"/>
    </xf>
    <xf numFmtId="0" fontId="29" fillId="0" borderId="24" xfId="73" applyFont="1" applyBorder="1" applyAlignment="1">
      <alignment horizontal="center"/>
    </xf>
    <xf numFmtId="0" fontId="25" fillId="0" borderId="25" xfId="73" applyFont="1" applyBorder="1" applyAlignment="1">
      <alignment wrapText="1"/>
    </xf>
    <xf numFmtId="0" fontId="53" fillId="0" borderId="0" xfId="73" applyAlignment="1">
      <alignment horizontal="center" vertical="center"/>
    </xf>
    <xf numFmtId="0" fontId="26" fillId="0" borderId="0" xfId="73" applyFont="1" applyBorder="1" applyAlignment="1">
      <alignment horizontal="center" vertical="center"/>
    </xf>
    <xf numFmtId="0" fontId="26" fillId="0" borderId="0" xfId="73" applyFont="1" applyBorder="1" applyAlignment="1">
      <alignment horizontal="center" vertical="center" wrapText="1"/>
    </xf>
    <xf numFmtId="0" fontId="29" fillId="0" borderId="26" xfId="73" applyFont="1" applyBorder="1" applyAlignment="1">
      <alignment horizontal="center" vertical="center"/>
    </xf>
    <xf numFmtId="0" fontId="26" fillId="0" borderId="19" xfId="73" applyFont="1" applyBorder="1" applyAlignment="1">
      <alignment wrapText="1"/>
    </xf>
    <xf numFmtId="0" fontId="26" fillId="0" borderId="20" xfId="73" applyFont="1" applyBorder="1" applyAlignment="1">
      <alignment wrapText="1"/>
    </xf>
    <xf numFmtId="0" fontId="26" fillId="0" borderId="21" xfId="73" applyFont="1" applyBorder="1" applyAlignment="1">
      <alignment wrapText="1"/>
    </xf>
    <xf numFmtId="0" fontId="53" fillId="0" borderId="0" xfId="73" applyBorder="1"/>
    <xf numFmtId="0" fontId="34" fillId="28" borderId="0" xfId="70" applyFont="1" applyFill="1" applyBorder="1"/>
    <xf numFmtId="0" fontId="31" fillId="28" borderId="0" xfId="70" applyFont="1" applyFill="1" applyBorder="1"/>
    <xf numFmtId="0" fontId="35" fillId="28" borderId="0" xfId="70" applyFont="1" applyFill="1" applyBorder="1"/>
    <xf numFmtId="41" fontId="53" fillId="0" borderId="0" xfId="73" applyNumberFormat="1" applyBorder="1"/>
    <xf numFmtId="0" fontId="2" fillId="0" borderId="27" xfId="73" applyFont="1" applyBorder="1"/>
    <xf numFmtId="0" fontId="2" fillId="0" borderId="21" xfId="73" applyFont="1" applyFill="1" applyBorder="1"/>
    <xf numFmtId="0" fontId="1" fillId="0" borderId="21" xfId="73" applyFont="1" applyBorder="1"/>
    <xf numFmtId="0" fontId="2" fillId="0" borderId="0" xfId="73" applyFont="1" applyBorder="1" applyAlignment="1">
      <alignment horizontal="center"/>
    </xf>
    <xf numFmtId="0" fontId="2" fillId="0" borderId="28" xfId="73" applyFont="1" applyBorder="1" applyAlignment="1">
      <alignment horizontal="center"/>
    </xf>
    <xf numFmtId="0" fontId="2" fillId="0" borderId="20" xfId="73" applyFont="1" applyBorder="1" applyAlignment="1">
      <alignment horizontal="center"/>
    </xf>
    <xf numFmtId="0" fontId="2" fillId="0" borderId="29" xfId="73" applyFont="1" applyBorder="1" applyAlignment="1">
      <alignment horizontal="center"/>
    </xf>
    <xf numFmtId="0" fontId="2" fillId="0" borderId="30" xfId="73" applyFont="1" applyBorder="1" applyAlignment="1">
      <alignment horizontal="center"/>
    </xf>
    <xf numFmtId="0" fontId="34" fillId="28" borderId="0" xfId="70" applyFont="1" applyFill="1" applyBorder="1" applyAlignment="1">
      <alignment horizontal="center"/>
    </xf>
    <xf numFmtId="164" fontId="57" fillId="0" borderId="0" xfId="0" applyNumberFormat="1" applyFont="1" applyBorder="1"/>
    <xf numFmtId="0" fontId="0" fillId="0" borderId="0" xfId="0" applyFill="1"/>
    <xf numFmtId="0" fontId="0" fillId="0" borderId="0" xfId="0" applyBorder="1" applyAlignment="1">
      <alignment horizontal="center" vertical="center" wrapText="1"/>
    </xf>
    <xf numFmtId="0" fontId="29" fillId="0" borderId="29" xfId="0" applyFont="1" applyBorder="1" applyAlignment="1"/>
    <xf numFmtId="0" fontId="26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9" fillId="0" borderId="28" xfId="0" applyFont="1" applyBorder="1"/>
    <xf numFmtId="0" fontId="26" fillId="0" borderId="28" xfId="0" applyFont="1" applyBorder="1" applyAlignment="1">
      <alignment horizontal="center"/>
    </xf>
    <xf numFmtId="0" fontId="26" fillId="0" borderId="18" xfId="0" applyFont="1" applyFill="1" applyBorder="1" applyAlignment="1">
      <alignment horizontal="center" vertical="top" wrapText="1"/>
    </xf>
    <xf numFmtId="0" fontId="26" fillId="0" borderId="14" xfId="0" applyFont="1" applyBorder="1"/>
    <xf numFmtId="0" fontId="25" fillId="0" borderId="14" xfId="0" applyFont="1" applyBorder="1" applyAlignment="1">
      <alignment wrapText="1"/>
    </xf>
    <xf numFmtId="0" fontId="25" fillId="0" borderId="17" xfId="0" applyFont="1" applyBorder="1"/>
    <xf numFmtId="0" fontId="25" fillId="0" borderId="32" xfId="0" applyFont="1" applyBorder="1"/>
    <xf numFmtId="0" fontId="25" fillId="0" borderId="15" xfId="0" applyFont="1" applyBorder="1"/>
    <xf numFmtId="0" fontId="1" fillId="0" borderId="33" xfId="0" applyFont="1" applyBorder="1"/>
    <xf numFmtId="164" fontId="18" fillId="0" borderId="15" xfId="0" applyNumberFormat="1" applyFont="1" applyFill="1" applyBorder="1" applyAlignment="1">
      <alignment horizontal="center" vertical="top" wrapText="1"/>
    </xf>
    <xf numFmtId="41" fontId="0" fillId="0" borderId="0" xfId="0" applyNumberFormat="1"/>
    <xf numFmtId="0" fontId="1" fillId="0" borderId="32" xfId="0" applyFont="1" applyBorder="1"/>
    <xf numFmtId="0" fontId="1" fillId="0" borderId="26" xfId="0" applyFont="1" applyBorder="1"/>
    <xf numFmtId="164" fontId="18" fillId="0" borderId="13" xfId="0" applyNumberFormat="1" applyFont="1" applyFill="1" applyBorder="1" applyAlignment="1">
      <alignment horizontal="center" vertical="top" wrapText="1"/>
    </xf>
    <xf numFmtId="0" fontId="2" fillId="0" borderId="12" xfId="0" applyFont="1" applyBorder="1"/>
    <xf numFmtId="164" fontId="18" fillId="0" borderId="34" xfId="0" applyNumberFormat="1" applyFont="1" applyFill="1" applyBorder="1" applyAlignment="1">
      <alignment horizontal="center" vertical="top" wrapText="1"/>
    </xf>
    <xf numFmtId="3" fontId="0" fillId="0" borderId="0" xfId="0" applyNumberFormat="1"/>
    <xf numFmtId="0" fontId="36" fillId="0" borderId="0" xfId="0" applyFont="1"/>
    <xf numFmtId="0" fontId="29" fillId="0" borderId="35" xfId="0" applyFont="1" applyBorder="1" applyAlignment="1"/>
    <xf numFmtId="0" fontId="0" fillId="0" borderId="31" xfId="0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9" fillId="0" borderId="12" xfId="0" applyFont="1" applyBorder="1"/>
    <xf numFmtId="0" fontId="26" fillId="0" borderId="12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41" fontId="0" fillId="0" borderId="0" xfId="0" applyNumberFormat="1" applyFill="1"/>
    <xf numFmtId="0" fontId="59" fillId="31" borderId="0" xfId="0" applyFont="1" applyFill="1"/>
    <xf numFmtId="0" fontId="0" fillId="31" borderId="0" xfId="0" applyFill="1"/>
    <xf numFmtId="0" fontId="59" fillId="32" borderId="0" xfId="0" applyFont="1" applyFill="1"/>
    <xf numFmtId="0" fontId="57" fillId="0" borderId="0" xfId="0" applyFont="1" applyBorder="1" applyAlignment="1">
      <alignment horizontal="center"/>
    </xf>
    <xf numFmtId="0" fontId="60" fillId="0" borderId="0" xfId="0" applyFont="1"/>
    <xf numFmtId="17" fontId="57" fillId="0" borderId="0" xfId="0" quotePrefix="1" applyNumberFormat="1" applyFont="1"/>
    <xf numFmtId="14" fontId="57" fillId="0" borderId="0" xfId="0" applyNumberFormat="1" applyFont="1"/>
    <xf numFmtId="0" fontId="57" fillId="0" borderId="37" xfId="0" applyFont="1" applyBorder="1"/>
    <xf numFmtId="0" fontId="60" fillId="0" borderId="38" xfId="0" applyFont="1" applyBorder="1"/>
    <xf numFmtId="0" fontId="57" fillId="0" borderId="38" xfId="0" applyFont="1" applyBorder="1"/>
    <xf numFmtId="165" fontId="57" fillId="0" borderId="0" xfId="39" applyFont="1"/>
    <xf numFmtId="1" fontId="57" fillId="0" borderId="0" xfId="0" applyNumberFormat="1" applyFont="1"/>
    <xf numFmtId="0" fontId="57" fillId="31" borderId="0" xfId="0" applyFont="1" applyFill="1"/>
    <xf numFmtId="164" fontId="57" fillId="0" borderId="0" xfId="0" applyNumberFormat="1" applyFont="1"/>
    <xf numFmtId="164" fontId="60" fillId="0" borderId="0" xfId="0" applyNumberFormat="1" applyFont="1"/>
    <xf numFmtId="164" fontId="57" fillId="0" borderId="0" xfId="0" quotePrefix="1" applyNumberFormat="1" applyFont="1"/>
    <xf numFmtId="172" fontId="57" fillId="0" borderId="0" xfId="0" applyNumberFormat="1" applyFont="1" applyBorder="1"/>
    <xf numFmtId="171" fontId="57" fillId="0" borderId="0" xfId="0" applyNumberFormat="1" applyFont="1" applyBorder="1"/>
    <xf numFmtId="9" fontId="57" fillId="0" borderId="0" xfId="0" applyNumberFormat="1" applyFont="1"/>
    <xf numFmtId="164" fontId="57" fillId="0" borderId="39" xfId="0" applyNumberFormat="1" applyFont="1" applyFill="1" applyBorder="1"/>
    <xf numFmtId="0" fontId="57" fillId="0" borderId="39" xfId="0" applyFont="1" applyBorder="1"/>
    <xf numFmtId="41" fontId="57" fillId="0" borderId="0" xfId="0" applyNumberFormat="1" applyFont="1"/>
    <xf numFmtId="164" fontId="57" fillId="0" borderId="0" xfId="0" applyNumberFormat="1" applyFont="1" applyFill="1" applyBorder="1"/>
    <xf numFmtId="41" fontId="58" fillId="0" borderId="40" xfId="0" applyNumberFormat="1" applyFont="1" applyBorder="1" applyAlignment="1">
      <alignment wrapText="1"/>
    </xf>
    <xf numFmtId="0" fontId="57" fillId="0" borderId="41" xfId="0" applyFont="1" applyBorder="1"/>
    <xf numFmtId="0" fontId="57" fillId="0" borderId="42" xfId="0" applyFont="1" applyBorder="1"/>
    <xf numFmtId="0" fontId="57" fillId="0" borderId="43" xfId="0" applyFont="1" applyBorder="1"/>
    <xf numFmtId="0" fontId="57" fillId="0" borderId="44" xfId="0" applyFont="1" applyBorder="1"/>
    <xf numFmtId="176" fontId="57" fillId="0" borderId="0" xfId="39" applyNumberFormat="1" applyFont="1"/>
    <xf numFmtId="41" fontId="57" fillId="0" borderId="0" xfId="0" applyNumberFormat="1" applyFont="1" applyBorder="1"/>
    <xf numFmtId="1" fontId="57" fillId="0" borderId="0" xfId="0" applyNumberFormat="1" applyFont="1" applyBorder="1" applyAlignment="1">
      <alignment horizontal="center"/>
    </xf>
    <xf numFmtId="1" fontId="57" fillId="0" borderId="40" xfId="0" applyNumberFormat="1" applyFont="1" applyBorder="1"/>
    <xf numFmtId="0" fontId="57" fillId="32" borderId="0" xfId="0" applyFont="1" applyFill="1"/>
    <xf numFmtId="3" fontId="57" fillId="0" borderId="0" xfId="0" applyNumberFormat="1" applyFont="1"/>
    <xf numFmtId="173" fontId="57" fillId="0" borderId="0" xfId="0" applyNumberFormat="1" applyFont="1"/>
    <xf numFmtId="0" fontId="57" fillId="33" borderId="0" xfId="0" applyFont="1" applyFill="1"/>
    <xf numFmtId="171" fontId="57" fillId="0" borderId="0" xfId="0" applyNumberFormat="1" applyFont="1"/>
    <xf numFmtId="172" fontId="57" fillId="0" borderId="0" xfId="0" applyNumberFormat="1" applyFont="1"/>
    <xf numFmtId="0" fontId="61" fillId="0" borderId="0" xfId="0" applyFont="1"/>
    <xf numFmtId="177" fontId="0" fillId="0" borderId="0" xfId="0" applyNumberFormat="1"/>
    <xf numFmtId="0" fontId="0" fillId="33" borderId="0" xfId="0" applyFill="1"/>
    <xf numFmtId="175" fontId="0" fillId="0" borderId="0" xfId="0" applyNumberFormat="1"/>
    <xf numFmtId="0" fontId="55" fillId="0" borderId="0" xfId="0" applyFont="1"/>
    <xf numFmtId="176" fontId="0" fillId="0" borderId="0" xfId="0" applyNumberFormat="1"/>
    <xf numFmtId="0" fontId="0" fillId="0" borderId="0" xfId="0" applyFont="1"/>
    <xf numFmtId="177" fontId="5" fillId="0" borderId="0" xfId="0" applyNumberFormat="1" applyFont="1"/>
    <xf numFmtId="0" fontId="55" fillId="0" borderId="0" xfId="0" applyFont="1" applyAlignment="1"/>
    <xf numFmtId="0" fontId="0" fillId="0" borderId="0" xfId="0" applyAlignment="1">
      <alignment horizontal="center"/>
    </xf>
    <xf numFmtId="176" fontId="55" fillId="0" borderId="0" xfId="0" applyNumberFormat="1" applyFont="1" applyFill="1"/>
    <xf numFmtId="0" fontId="0" fillId="0" borderId="0" xfId="0" applyBorder="1" applyAlignment="1">
      <alignment horizontal="left" vertical="top"/>
    </xf>
    <xf numFmtId="43" fontId="0" fillId="0" borderId="0" xfId="0" applyNumberFormat="1"/>
    <xf numFmtId="0" fontId="53" fillId="0" borderId="0" xfId="0" applyFont="1"/>
    <xf numFmtId="0" fontId="0" fillId="0" borderId="0" xfId="0" applyAlignment="1">
      <alignment horizontal="left"/>
    </xf>
    <xf numFmtId="176" fontId="57" fillId="33" borderId="0" xfId="0" applyNumberFormat="1" applyFont="1" applyFill="1"/>
    <xf numFmtId="43" fontId="0" fillId="0" borderId="0" xfId="0" applyNumberFormat="1" applyBorder="1" applyAlignment="1">
      <alignment horizontal="left" vertical="top"/>
    </xf>
    <xf numFmtId="0" fontId="55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2" fontId="57" fillId="0" borderId="0" xfId="0" applyNumberFormat="1" applyFont="1"/>
    <xf numFmtId="0" fontId="60" fillId="0" borderId="0" xfId="0" applyFont="1" applyBorder="1"/>
    <xf numFmtId="14" fontId="0" fillId="0" borderId="0" xfId="0" applyNumberFormat="1"/>
    <xf numFmtId="1" fontId="0" fillId="0" borderId="0" xfId="0" applyNumberFormat="1"/>
    <xf numFmtId="0" fontId="23" fillId="0" borderId="0" xfId="0" applyFont="1"/>
    <xf numFmtId="10" fontId="23" fillId="0" borderId="0" xfId="92" applyNumberFormat="1" applyFont="1"/>
    <xf numFmtId="174" fontId="0" fillId="0" borderId="0" xfId="0" applyNumberFormat="1"/>
    <xf numFmtId="176" fontId="0" fillId="0" borderId="0" xfId="0" applyNumberFormat="1" applyFont="1"/>
    <xf numFmtId="176" fontId="0" fillId="0" borderId="0" xfId="0" applyNumberFormat="1" applyBorder="1" applyAlignment="1">
      <alignment horizontal="left" vertical="top"/>
    </xf>
    <xf numFmtId="165" fontId="5" fillId="33" borderId="0" xfId="39" applyFont="1" applyFill="1" applyBorder="1" applyAlignment="1">
      <alignment horizontal="center" vertical="top"/>
    </xf>
    <xf numFmtId="3" fontId="57" fillId="0" borderId="0" xfId="39" applyNumberFormat="1" applyFont="1"/>
    <xf numFmtId="0" fontId="55" fillId="0" borderId="0" xfId="0" applyFont="1" applyAlignment="1">
      <alignment horizontal="center"/>
    </xf>
    <xf numFmtId="165" fontId="57" fillId="0" borderId="40" xfId="39" applyFont="1" applyBorder="1"/>
    <xf numFmtId="0" fontId="57" fillId="0" borderId="0" xfId="0" applyFont="1" applyBorder="1" applyAlignment="1">
      <alignment horizontal="center"/>
    </xf>
    <xf numFmtId="177" fontId="0" fillId="0" borderId="0" xfId="0" applyNumberFormat="1" applyFont="1"/>
    <xf numFmtId="0" fontId="1" fillId="0" borderId="0" xfId="79"/>
    <xf numFmtId="0" fontId="2" fillId="0" borderId="0" xfId="79" applyFont="1"/>
    <xf numFmtId="9" fontId="1" fillId="0" borderId="0" xfId="100" applyFont="1"/>
    <xf numFmtId="166" fontId="55" fillId="33" borderId="0" xfId="100" applyNumberFormat="1" applyFont="1" applyFill="1"/>
    <xf numFmtId="0" fontId="1" fillId="34" borderId="0" xfId="79" applyFill="1"/>
    <xf numFmtId="0" fontId="62" fillId="0" borderId="0" xfId="79" applyFont="1" applyAlignment="1">
      <alignment horizontal="right"/>
    </xf>
    <xf numFmtId="0" fontId="60" fillId="0" borderId="0" xfId="0" applyNumberFormat="1" applyFont="1"/>
    <xf numFmtId="0" fontId="57" fillId="34" borderId="0" xfId="0" applyFont="1" applyFill="1"/>
    <xf numFmtId="41" fontId="57" fillId="34" borderId="0" xfId="0" applyNumberFormat="1" applyFont="1" applyFill="1"/>
    <xf numFmtId="41" fontId="58" fillId="34" borderId="0" xfId="0" applyNumberFormat="1" applyFont="1" applyFill="1" applyBorder="1" applyAlignment="1">
      <alignment wrapText="1"/>
    </xf>
    <xf numFmtId="41" fontId="58" fillId="34" borderId="40" xfId="0" applyNumberFormat="1" applyFont="1" applyFill="1" applyBorder="1" applyAlignment="1">
      <alignment wrapText="1"/>
    </xf>
    <xf numFmtId="9" fontId="57" fillId="33" borderId="0" xfId="0" applyNumberFormat="1" applyFont="1" applyFill="1"/>
    <xf numFmtId="3" fontId="1" fillId="34" borderId="20" xfId="73" applyNumberFormat="1" applyFont="1" applyFill="1" applyBorder="1" applyAlignment="1">
      <alignment horizontal="center"/>
    </xf>
    <xf numFmtId="3" fontId="1" fillId="34" borderId="45" xfId="73" applyNumberFormat="1" applyFont="1" applyFill="1" applyBorder="1" applyAlignment="1">
      <alignment horizontal="center"/>
    </xf>
    <xf numFmtId="41" fontId="53" fillId="34" borderId="46" xfId="73" applyNumberFormat="1" applyFill="1" applyBorder="1"/>
    <xf numFmtId="41" fontId="53" fillId="34" borderId="28" xfId="73" applyNumberFormat="1" applyFill="1" applyBorder="1"/>
    <xf numFmtId="41" fontId="18" fillId="34" borderId="47" xfId="73" applyNumberFormat="1" applyFont="1" applyFill="1" applyBorder="1" applyAlignment="1">
      <alignment wrapText="1"/>
    </xf>
    <xf numFmtId="41" fontId="18" fillId="34" borderId="48" xfId="73" applyNumberFormat="1" applyFont="1" applyFill="1" applyBorder="1"/>
    <xf numFmtId="41" fontId="18" fillId="34" borderId="49" xfId="73" applyNumberFormat="1" applyFont="1" applyFill="1" applyBorder="1" applyAlignment="1">
      <alignment horizontal="center"/>
    </xf>
    <xf numFmtId="41" fontId="18" fillId="34" borderId="50" xfId="73" applyNumberFormat="1" applyFont="1" applyFill="1" applyBorder="1" applyAlignment="1">
      <alignment horizontal="center"/>
    </xf>
    <xf numFmtId="41" fontId="18" fillId="34" borderId="15" xfId="73" applyNumberFormat="1" applyFont="1" applyFill="1" applyBorder="1"/>
    <xf numFmtId="41" fontId="18" fillId="34" borderId="47" xfId="73" applyNumberFormat="1" applyFont="1" applyFill="1" applyBorder="1"/>
    <xf numFmtId="41" fontId="18" fillId="34" borderId="49" xfId="73" applyNumberFormat="1" applyFont="1" applyFill="1" applyBorder="1"/>
    <xf numFmtId="41" fontId="18" fillId="34" borderId="51" xfId="73" applyNumberFormat="1" applyFont="1" applyFill="1" applyBorder="1" applyAlignment="1">
      <alignment wrapText="1"/>
    </xf>
    <xf numFmtId="41" fontId="18" fillId="34" borderId="17" xfId="73" applyNumberFormat="1" applyFont="1" applyFill="1" applyBorder="1"/>
    <xf numFmtId="41" fontId="18" fillId="34" borderId="52" xfId="73" applyNumberFormat="1" applyFont="1" applyFill="1" applyBorder="1" applyAlignment="1">
      <alignment horizontal="center"/>
    </xf>
    <xf numFmtId="41" fontId="32" fillId="34" borderId="53" xfId="73" applyNumberFormat="1" applyFont="1" applyFill="1" applyBorder="1" applyAlignment="1">
      <alignment wrapText="1"/>
    </xf>
    <xf numFmtId="41" fontId="32" fillId="34" borderId="54" xfId="73" applyNumberFormat="1" applyFont="1" applyFill="1" applyBorder="1" applyAlignment="1">
      <alignment wrapText="1"/>
    </xf>
    <xf numFmtId="41" fontId="32" fillId="34" borderId="19" xfId="73" applyNumberFormat="1" applyFont="1" applyFill="1" applyBorder="1"/>
    <xf numFmtId="41" fontId="32" fillId="34" borderId="28" xfId="73" applyNumberFormat="1" applyFont="1" applyFill="1" applyBorder="1" applyAlignment="1">
      <alignment horizontal="center"/>
    </xf>
    <xf numFmtId="41" fontId="32" fillId="34" borderId="18" xfId="73" applyNumberFormat="1" applyFont="1" applyFill="1" applyBorder="1"/>
    <xf numFmtId="41" fontId="18" fillId="34" borderId="50" xfId="73" applyNumberFormat="1" applyFont="1" applyFill="1" applyBorder="1" applyAlignment="1">
      <alignment wrapText="1"/>
    </xf>
    <xf numFmtId="41" fontId="18" fillId="34" borderId="50" xfId="73" applyNumberFormat="1" applyFont="1" applyFill="1" applyBorder="1"/>
    <xf numFmtId="41" fontId="18" fillId="34" borderId="17" xfId="73" applyNumberFormat="1" applyFont="1" applyFill="1" applyBorder="1" applyAlignment="1">
      <alignment horizontal="center"/>
    </xf>
    <xf numFmtId="41" fontId="33" fillId="34" borderId="15" xfId="73" applyNumberFormat="1" applyFont="1" applyFill="1" applyBorder="1"/>
    <xf numFmtId="41" fontId="32" fillId="34" borderId="28" xfId="73" applyNumberFormat="1" applyFont="1" applyFill="1" applyBorder="1" applyAlignment="1">
      <alignment wrapText="1"/>
    </xf>
    <xf numFmtId="41" fontId="32" fillId="34" borderId="36" xfId="73" applyNumberFormat="1" applyFont="1" applyFill="1" applyBorder="1"/>
    <xf numFmtId="41" fontId="32" fillId="34" borderId="28" xfId="73" applyNumberFormat="1" applyFont="1" applyFill="1" applyBorder="1"/>
    <xf numFmtId="41" fontId="18" fillId="34" borderId="48" xfId="0" applyNumberFormat="1" applyFont="1" applyFill="1" applyBorder="1" applyAlignment="1">
      <alignment wrapText="1"/>
    </xf>
    <xf numFmtId="41" fontId="18" fillId="34" borderId="48" xfId="0" applyNumberFormat="1" applyFont="1" applyFill="1" applyBorder="1"/>
    <xf numFmtId="41" fontId="18" fillId="34" borderId="15" xfId="0" applyNumberFormat="1" applyFont="1" applyFill="1" applyBorder="1"/>
    <xf numFmtId="41" fontId="33" fillId="34" borderId="15" xfId="0" applyNumberFormat="1" applyFont="1" applyFill="1" applyBorder="1"/>
    <xf numFmtId="41" fontId="18" fillId="34" borderId="55" xfId="0" applyNumberFormat="1" applyFont="1" applyFill="1" applyBorder="1"/>
    <xf numFmtId="41" fontId="18" fillId="34" borderId="18" xfId="0" applyNumberFormat="1" applyFont="1" applyFill="1" applyBorder="1"/>
    <xf numFmtId="41" fontId="18" fillId="34" borderId="56" xfId="0" applyNumberFormat="1" applyFont="1" applyFill="1" applyBorder="1"/>
    <xf numFmtId="41" fontId="18" fillId="34" borderId="12" xfId="0" applyNumberFormat="1" applyFont="1" applyFill="1" applyBorder="1"/>
    <xf numFmtId="41" fontId="18" fillId="34" borderId="36" xfId="0" applyNumberFormat="1" applyFont="1" applyFill="1" applyBorder="1"/>
    <xf numFmtId="41" fontId="33" fillId="34" borderId="26" xfId="0" applyNumberFormat="1" applyFont="1" applyFill="1" applyBorder="1"/>
    <xf numFmtId="41" fontId="18" fillId="34" borderId="26" xfId="0" applyNumberFormat="1" applyFont="1" applyFill="1" applyBorder="1"/>
    <xf numFmtId="0" fontId="0" fillId="34" borderId="0" xfId="0" applyFill="1"/>
    <xf numFmtId="0" fontId="5" fillId="33" borderId="0" xfId="0" applyFont="1" applyFill="1"/>
    <xf numFmtId="0" fontId="5" fillId="34" borderId="0" xfId="0" applyFont="1" applyFill="1"/>
    <xf numFmtId="14" fontId="57" fillId="0" borderId="0" xfId="0" applyNumberFormat="1" applyFont="1" applyAlignment="1">
      <alignment horizontal="right"/>
    </xf>
    <xf numFmtId="0" fontId="2" fillId="0" borderId="0" xfId="0" applyFont="1"/>
    <xf numFmtId="0" fontId="10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179" fontId="0" fillId="34" borderId="0" xfId="0" applyNumberFormat="1" applyFill="1"/>
    <xf numFmtId="179" fontId="0" fillId="34" borderId="0" xfId="0" applyNumberFormat="1" applyFill="1" applyAlignment="1" applyProtection="1">
      <alignment horizontal="right"/>
      <protection locked="0"/>
    </xf>
    <xf numFmtId="180" fontId="0" fillId="0" borderId="0" xfId="41" applyNumberFormat="1" applyFont="1"/>
    <xf numFmtId="179" fontId="0" fillId="0" borderId="0" xfId="0" applyNumberFormat="1" applyAlignment="1" applyProtection="1">
      <alignment horizontal="right"/>
      <protection locked="0"/>
    </xf>
    <xf numFmtId="0" fontId="62" fillId="0" borderId="0" xfId="0" applyFont="1"/>
    <xf numFmtId="179" fontId="0" fillId="0" borderId="0" xfId="0" applyNumberFormat="1"/>
    <xf numFmtId="172" fontId="57" fillId="0" borderId="0" xfId="0" applyNumberFormat="1" applyFont="1" applyBorder="1" applyAlignment="1">
      <alignment horizontal="left" indent="2"/>
    </xf>
    <xf numFmtId="172" fontId="57" fillId="0" borderId="0" xfId="0" applyNumberFormat="1" applyFont="1" applyAlignment="1">
      <alignment horizontal="left" indent="3"/>
    </xf>
    <xf numFmtId="172" fontId="57" fillId="0" borderId="0" xfId="0" applyNumberFormat="1" applyFont="1" applyAlignment="1">
      <alignment horizontal="left" indent="2"/>
    </xf>
    <xf numFmtId="0" fontId="63" fillId="0" borderId="0" xfId="0" applyFont="1"/>
    <xf numFmtId="176" fontId="0" fillId="0" borderId="0" xfId="0" applyNumberFormat="1" applyAlignment="1">
      <alignment horizontal="left" indent="1"/>
    </xf>
    <xf numFmtId="0" fontId="5" fillId="0" borderId="0" xfId="0" applyFont="1" applyBorder="1" applyAlignment="1">
      <alignment horizontal="left" vertical="top"/>
    </xf>
    <xf numFmtId="43" fontId="5" fillId="0" borderId="0" xfId="0" applyNumberFormat="1" applyFont="1" applyBorder="1" applyAlignment="1">
      <alignment horizontal="left" vertical="top"/>
    </xf>
    <xf numFmtId="0" fontId="57" fillId="0" borderId="57" xfId="0" applyFont="1" applyBorder="1"/>
    <xf numFmtId="0" fontId="0" fillId="0" borderId="70" xfId="0" applyBorder="1"/>
    <xf numFmtId="177" fontId="0" fillId="0" borderId="70" xfId="0" applyNumberFormat="1" applyBorder="1"/>
    <xf numFmtId="177" fontId="0" fillId="0" borderId="71" xfId="0" applyNumberFormat="1" applyBorder="1"/>
    <xf numFmtId="171" fontId="0" fillId="0" borderId="0" xfId="0" applyNumberFormat="1" applyBorder="1" applyAlignment="1">
      <alignment horizontal="center"/>
    </xf>
    <xf numFmtId="0" fontId="64" fillId="0" borderId="0" xfId="0" applyFont="1"/>
    <xf numFmtId="0" fontId="52" fillId="0" borderId="0" xfId="0" applyFont="1"/>
    <xf numFmtId="0" fontId="57" fillId="0" borderId="0" xfId="0" applyFont="1" applyAlignment="1">
      <alignment horizontal="center"/>
    </xf>
    <xf numFmtId="0" fontId="2" fillId="0" borderId="0" xfId="0" applyFont="1" applyFill="1" applyBorder="1"/>
    <xf numFmtId="43" fontId="64" fillId="0" borderId="0" xfId="0" applyNumberFormat="1" applyFont="1"/>
    <xf numFmtId="0" fontId="57" fillId="0" borderId="0" xfId="71" applyFont="1" applyFill="1" applyBorder="1"/>
    <xf numFmtId="14" fontId="53" fillId="0" borderId="0" xfId="0" applyNumberFormat="1" applyFont="1" applyAlignment="1">
      <alignment horizontal="center"/>
    </xf>
    <xf numFmtId="0" fontId="57" fillId="0" borderId="0" xfId="71" applyFont="1" applyFill="1" applyBorder="1" applyAlignment="1">
      <alignment horizontal="center"/>
    </xf>
    <xf numFmtId="10" fontId="53" fillId="0" borderId="0" xfId="70" applyNumberFormat="1" applyFont="1" applyFill="1" applyAlignment="1">
      <alignment horizontal="center"/>
    </xf>
    <xf numFmtId="0" fontId="65" fillId="32" borderId="0" xfId="0" applyFont="1" applyFill="1" applyAlignment="1">
      <alignment vertical="center"/>
    </xf>
    <xf numFmtId="41" fontId="58" fillId="0" borderId="73" xfId="0" applyNumberFormat="1" applyFont="1" applyBorder="1" applyAlignment="1">
      <alignment wrapText="1"/>
    </xf>
    <xf numFmtId="41" fontId="57" fillId="30" borderId="74" xfId="0" applyNumberFormat="1" applyFont="1" applyFill="1" applyBorder="1"/>
    <xf numFmtId="41" fontId="57" fillId="30" borderId="75" xfId="0" applyNumberFormat="1" applyFont="1" applyFill="1" applyBorder="1"/>
    <xf numFmtId="0" fontId="55" fillId="0" borderId="76" xfId="0" applyFont="1" applyBorder="1"/>
    <xf numFmtId="176" fontId="55" fillId="30" borderId="77" xfId="0" applyNumberFormat="1" applyFont="1" applyFill="1" applyBorder="1"/>
    <xf numFmtId="176" fontId="55" fillId="30" borderId="78" xfId="0" applyNumberFormat="1" applyFont="1" applyFill="1" applyBorder="1"/>
    <xf numFmtId="171" fontId="0" fillId="0" borderId="79" xfId="0" applyNumberFormat="1" applyBorder="1" applyAlignment="1">
      <alignment horizontal="center"/>
    </xf>
    <xf numFmtId="171" fontId="0" fillId="0" borderId="80" xfId="0" applyNumberFormat="1" applyBorder="1" applyAlignment="1">
      <alignment horizontal="center"/>
    </xf>
    <xf numFmtId="0" fontId="0" fillId="0" borderId="73" xfId="0" applyBorder="1"/>
    <xf numFmtId="0" fontId="0" fillId="0" borderId="81" xfId="0" applyBorder="1" applyAlignment="1">
      <alignment horizontal="left"/>
    </xf>
    <xf numFmtId="14" fontId="57" fillId="30" borderId="82" xfId="71" applyNumberFormat="1" applyFont="1" applyFill="1" applyBorder="1" applyAlignment="1">
      <alignment horizontal="center"/>
    </xf>
    <xf numFmtId="0" fontId="0" fillId="34" borderId="78" xfId="0" applyFill="1" applyBorder="1"/>
    <xf numFmtId="176" fontId="55" fillId="34" borderId="78" xfId="0" applyNumberFormat="1" applyFont="1" applyFill="1" applyBorder="1"/>
    <xf numFmtId="41" fontId="53" fillId="0" borderId="0" xfId="73" applyNumberFormat="1"/>
    <xf numFmtId="176" fontId="53" fillId="0" borderId="0" xfId="73" applyNumberFormat="1"/>
    <xf numFmtId="171" fontId="0" fillId="0" borderId="83" xfId="0" applyNumberFormat="1" applyBorder="1" applyAlignment="1">
      <alignment horizontal="center"/>
    </xf>
    <xf numFmtId="0" fontId="53" fillId="0" borderId="0" xfId="73" applyAlignment="1">
      <alignment horizontal="center"/>
    </xf>
    <xf numFmtId="0" fontId="53" fillId="0" borderId="0" xfId="0" applyFont="1" applyAlignment="1">
      <alignment horizontal="left"/>
    </xf>
    <xf numFmtId="176" fontId="55" fillId="33" borderId="84" xfId="0" applyNumberFormat="1" applyFont="1" applyFill="1" applyBorder="1" applyAlignment="1">
      <alignment horizontal="center"/>
    </xf>
    <xf numFmtId="0" fontId="5" fillId="33" borderId="0" xfId="0" applyFont="1" applyFill="1" applyAlignment="1">
      <alignment horizontal="center"/>
    </xf>
    <xf numFmtId="41" fontId="57" fillId="0" borderId="58" xfId="0" applyNumberFormat="1" applyFont="1" applyBorder="1"/>
    <xf numFmtId="171" fontId="57" fillId="0" borderId="9" xfId="0" applyNumberFormat="1" applyFont="1" applyBorder="1"/>
    <xf numFmtId="41" fontId="57" fillId="0" borderId="59" xfId="0" applyNumberFormat="1" applyFont="1" applyBorder="1"/>
    <xf numFmtId="1" fontId="57" fillId="0" borderId="40" xfId="0" applyNumberFormat="1" applyFont="1" applyBorder="1" applyAlignment="1">
      <alignment horizontal="center"/>
    </xf>
    <xf numFmtId="41" fontId="57" fillId="0" borderId="40" xfId="0" applyNumberFormat="1" applyFont="1" applyBorder="1"/>
    <xf numFmtId="0" fontId="57" fillId="0" borderId="60" xfId="0" applyFont="1" applyBorder="1"/>
    <xf numFmtId="176" fontId="5" fillId="0" borderId="0" xfId="0" applyNumberFormat="1" applyFont="1"/>
    <xf numFmtId="0" fontId="60" fillId="29" borderId="0" xfId="0" applyFont="1" applyFill="1"/>
    <xf numFmtId="0" fontId="0" fillId="0" borderId="0" xfId="0" applyBorder="1" applyAlignment="1">
      <alignment horizontal="left"/>
    </xf>
    <xf numFmtId="177" fontId="0" fillId="34" borderId="0" xfId="0" applyNumberFormat="1" applyFill="1"/>
    <xf numFmtId="178" fontId="0" fillId="34" borderId="0" xfId="0" applyNumberFormat="1" applyFill="1" applyBorder="1"/>
    <xf numFmtId="10" fontId="0" fillId="34" borderId="0" xfId="0" applyNumberFormat="1" applyFill="1"/>
    <xf numFmtId="172" fontId="0" fillId="30" borderId="0" xfId="0" applyNumberFormat="1" applyFill="1"/>
    <xf numFmtId="177" fontId="0" fillId="30" borderId="85" xfId="0" applyNumberFormat="1" applyFill="1" applyBorder="1"/>
    <xf numFmtId="0" fontId="0" fillId="0" borderId="86" xfId="0" applyBorder="1"/>
    <xf numFmtId="177" fontId="0" fillId="30" borderId="87" xfId="0" applyNumberFormat="1" applyFill="1" applyBorder="1"/>
    <xf numFmtId="10" fontId="3" fillId="0" borderId="0" xfId="92" applyNumberFormat="1" applyFont="1" applyFill="1"/>
    <xf numFmtId="3" fontId="57" fillId="34" borderId="0" xfId="39" applyNumberFormat="1" applyFont="1" applyFill="1"/>
    <xf numFmtId="177" fontId="0" fillId="30" borderId="88" xfId="0" applyNumberFormat="1" applyFill="1" applyBorder="1"/>
    <xf numFmtId="177" fontId="0" fillId="30" borderId="89" xfId="0" applyNumberFormat="1" applyFill="1" applyBorder="1"/>
    <xf numFmtId="0" fontId="0" fillId="35" borderId="0" xfId="0" applyFill="1"/>
    <xf numFmtId="176" fontId="55" fillId="0" borderId="81" xfId="0" applyNumberFormat="1" applyFont="1" applyFill="1" applyBorder="1"/>
    <xf numFmtId="0" fontId="57" fillId="0" borderId="0" xfId="0" applyFont="1" applyFill="1"/>
    <xf numFmtId="0" fontId="57" fillId="0" borderId="72" xfId="0" applyFont="1" applyFill="1" applyBorder="1"/>
    <xf numFmtId="165" fontId="57" fillId="0" borderId="0" xfId="39" applyFont="1" applyFill="1"/>
    <xf numFmtId="41" fontId="57" fillId="0" borderId="0" xfId="0" applyNumberFormat="1" applyFont="1" applyFill="1"/>
    <xf numFmtId="0" fontId="66" fillId="0" borderId="0" xfId="0" applyFont="1" applyFill="1"/>
    <xf numFmtId="165" fontId="57" fillId="0" borderId="0" xfId="0" applyNumberFormat="1" applyFont="1" applyFill="1"/>
    <xf numFmtId="176" fontId="57" fillId="0" borderId="0" xfId="0" applyNumberFormat="1" applyFont="1" applyFill="1"/>
    <xf numFmtId="166" fontId="57" fillId="0" borderId="0" xfId="0" applyNumberFormat="1" applyFont="1" applyFill="1"/>
    <xf numFmtId="10" fontId="57" fillId="0" borderId="0" xfId="92" applyNumberFormat="1" applyFont="1" applyFill="1"/>
    <xf numFmtId="1" fontId="57" fillId="0" borderId="0" xfId="0" applyNumberFormat="1" applyFont="1" applyFill="1"/>
    <xf numFmtId="3" fontId="57" fillId="0" borderId="0" xfId="0" applyNumberFormat="1" applyFont="1" applyFill="1"/>
    <xf numFmtId="0" fontId="57" fillId="0" borderId="40" xfId="0" applyFont="1" applyFill="1" applyBorder="1"/>
    <xf numFmtId="3" fontId="57" fillId="0" borderId="0" xfId="0" applyNumberFormat="1" applyFont="1" applyFill="1" applyAlignment="1">
      <alignment horizontal="right"/>
    </xf>
    <xf numFmtId="4" fontId="57" fillId="0" borderId="0" xfId="0" applyNumberFormat="1" applyFont="1" applyFill="1" applyAlignment="1">
      <alignment horizontal="right"/>
    </xf>
    <xf numFmtId="2" fontId="57" fillId="0" borderId="0" xfId="0" applyNumberFormat="1" applyFont="1" applyFill="1"/>
    <xf numFmtId="0" fontId="4" fillId="35" borderId="0" xfId="71" applyFont="1" applyFill="1" applyBorder="1"/>
    <xf numFmtId="175" fontId="0" fillId="35" borderId="0" xfId="0" applyNumberFormat="1" applyFill="1"/>
    <xf numFmtId="0" fontId="53" fillId="35" borderId="0" xfId="0" applyFont="1" applyFill="1"/>
    <xf numFmtId="0" fontId="57" fillId="35" borderId="0" xfId="0" applyFont="1" applyFill="1"/>
    <xf numFmtId="164" fontId="60" fillId="0" borderId="11" xfId="0" applyNumberFormat="1" applyFont="1" applyBorder="1"/>
    <xf numFmtId="0" fontId="57" fillId="0" borderId="11" xfId="0" applyFont="1" applyBorder="1"/>
    <xf numFmtId="165" fontId="57" fillId="0" borderId="11" xfId="39" applyFont="1" applyBorder="1"/>
    <xf numFmtId="0" fontId="60" fillId="0" borderId="11" xfId="0" applyFont="1" applyBorder="1"/>
    <xf numFmtId="165" fontId="60" fillId="0" borderId="0" xfId="39" applyFont="1"/>
    <xf numFmtId="0" fontId="2" fillId="0" borderId="0" xfId="0" applyFont="1" applyBorder="1" applyAlignment="1">
      <alignment wrapText="1"/>
    </xf>
    <xf numFmtId="165" fontId="57" fillId="0" borderId="0" xfId="39" applyFont="1" applyBorder="1"/>
    <xf numFmtId="0" fontId="67" fillId="0" borderId="0" xfId="0" applyFont="1" applyBorder="1" applyAlignment="1">
      <alignment wrapText="1"/>
    </xf>
    <xf numFmtId="9" fontId="57" fillId="0" borderId="0" xfId="92" applyFont="1" applyBorder="1"/>
    <xf numFmtId="165" fontId="57" fillId="0" borderId="11" xfId="0" applyNumberFormat="1" applyFont="1" applyBorder="1"/>
    <xf numFmtId="0" fontId="56" fillId="0" borderId="0" xfId="0" applyFont="1"/>
    <xf numFmtId="165" fontId="57" fillId="0" borderId="0" xfId="0" applyNumberFormat="1" applyFont="1"/>
    <xf numFmtId="165" fontId="60" fillId="0" borderId="11" xfId="39" applyFont="1" applyBorder="1"/>
    <xf numFmtId="9" fontId="57" fillId="0" borderId="0" xfId="92" applyFont="1"/>
    <xf numFmtId="171" fontId="55" fillId="0" borderId="0" xfId="0" applyNumberFormat="1" applyFont="1" applyBorder="1"/>
    <xf numFmtId="10" fontId="53" fillId="0" borderId="0" xfId="70" applyNumberFormat="1" applyFont="1" applyFill="1"/>
    <xf numFmtId="10" fontId="53" fillId="0" borderId="20" xfId="70" applyNumberFormat="1" applyFont="1" applyFill="1" applyBorder="1"/>
    <xf numFmtId="10" fontId="53" fillId="0" borderId="19" xfId="70" applyNumberFormat="1" applyFont="1" applyFill="1" applyBorder="1"/>
    <xf numFmtId="175" fontId="57" fillId="0" borderId="0" xfId="0" applyNumberFormat="1" applyFont="1"/>
    <xf numFmtId="166" fontId="57" fillId="0" borderId="0" xfId="92" applyNumberFormat="1" applyFont="1"/>
    <xf numFmtId="9" fontId="57" fillId="0" borderId="0" xfId="98" applyFont="1"/>
    <xf numFmtId="166" fontId="57" fillId="0" borderId="0" xfId="98" applyNumberFormat="1" applyFont="1"/>
    <xf numFmtId="0" fontId="57" fillId="0" borderId="61" xfId="0" applyFont="1" applyBorder="1"/>
    <xf numFmtId="0" fontId="57" fillId="0" borderId="30" xfId="0" applyFont="1" applyBorder="1"/>
    <xf numFmtId="1" fontId="57" fillId="0" borderId="30" xfId="0" applyNumberFormat="1" applyFont="1" applyBorder="1"/>
    <xf numFmtId="1" fontId="57" fillId="0" borderId="22" xfId="0" applyNumberFormat="1" applyFont="1" applyBorder="1"/>
    <xf numFmtId="0" fontId="57" fillId="0" borderId="62" xfId="0" applyFont="1" applyBorder="1"/>
    <xf numFmtId="1" fontId="57" fillId="0" borderId="0" xfId="0" applyNumberFormat="1" applyFont="1" applyBorder="1"/>
    <xf numFmtId="1" fontId="57" fillId="0" borderId="63" xfId="0" applyNumberFormat="1" applyFont="1" applyBorder="1"/>
    <xf numFmtId="175" fontId="57" fillId="0" borderId="0" xfId="0" applyNumberFormat="1" applyFont="1" applyBorder="1"/>
    <xf numFmtId="175" fontId="57" fillId="0" borderId="63" xfId="0" applyNumberFormat="1" applyFont="1" applyBorder="1"/>
    <xf numFmtId="0" fontId="57" fillId="0" borderId="21" xfId="0" applyFont="1" applyBorder="1"/>
    <xf numFmtId="0" fontId="57" fillId="0" borderId="20" xfId="0" applyFont="1" applyBorder="1"/>
    <xf numFmtId="177" fontId="57" fillId="0" borderId="0" xfId="0" applyNumberFormat="1" applyFont="1"/>
    <xf numFmtId="0" fontId="60" fillId="0" borderId="0" xfId="71" applyFont="1" applyFill="1" applyBorder="1"/>
    <xf numFmtId="0" fontId="60" fillId="0" borderId="0" xfId="0" applyFont="1" applyFill="1"/>
    <xf numFmtId="0" fontId="0" fillId="0" borderId="0" xfId="0" applyFill="1" applyAlignment="1">
      <alignment horizontal="left"/>
    </xf>
    <xf numFmtId="172" fontId="57" fillId="33" borderId="0" xfId="0" applyNumberFormat="1" applyFont="1" applyFill="1" applyBorder="1"/>
    <xf numFmtId="0" fontId="0" fillId="0" borderId="0" xfId="0" applyAlignment="1">
      <alignment wrapText="1"/>
    </xf>
    <xf numFmtId="172" fontId="60" fillId="0" borderId="0" xfId="0" applyNumberFormat="1" applyFont="1" applyBorder="1"/>
    <xf numFmtId="165" fontId="60" fillId="0" borderId="0" xfId="39" applyFont="1" applyBorder="1"/>
    <xf numFmtId="165" fontId="57" fillId="33" borderId="0" xfId="39" applyFont="1" applyFill="1" applyBorder="1"/>
    <xf numFmtId="165" fontId="0" fillId="0" borderId="0" xfId="0" applyNumberFormat="1"/>
    <xf numFmtId="165" fontId="60" fillId="0" borderId="0" xfId="0" applyNumberFormat="1" applyFont="1"/>
    <xf numFmtId="0" fontId="68" fillId="0" borderId="0" xfId="0" applyFont="1"/>
    <xf numFmtId="164" fontId="57" fillId="0" borderId="11" xfId="0" applyNumberFormat="1" applyFont="1" applyBorder="1"/>
    <xf numFmtId="177" fontId="0" fillId="0" borderId="0" xfId="0" applyNumberFormat="1" applyFill="1"/>
    <xf numFmtId="10" fontId="57" fillId="0" borderId="0" xfId="0" applyNumberFormat="1" applyFont="1"/>
    <xf numFmtId="10" fontId="0" fillId="0" borderId="86" xfId="0" applyNumberFormat="1" applyBorder="1"/>
    <xf numFmtId="10" fontId="0" fillId="0" borderId="70" xfId="0" applyNumberFormat="1" applyBorder="1"/>
    <xf numFmtId="175" fontId="5" fillId="0" borderId="0" xfId="0" applyNumberFormat="1" applyFont="1"/>
    <xf numFmtId="177" fontId="0" fillId="0" borderId="90" xfId="0" applyNumberFormat="1" applyFill="1" applyBorder="1"/>
    <xf numFmtId="177" fontId="0" fillId="0" borderId="91" xfId="0" applyNumberFormat="1" applyFill="1" applyBorder="1"/>
    <xf numFmtId="177" fontId="0" fillId="0" borderId="92" xfId="0" applyNumberFormat="1" applyFill="1" applyBorder="1"/>
    <xf numFmtId="177" fontId="0" fillId="0" borderId="93" xfId="0" applyNumberFormat="1" applyFill="1" applyBorder="1"/>
    <xf numFmtId="177" fontId="0" fillId="0" borderId="70" xfId="0" applyNumberFormat="1" applyFill="1" applyBorder="1"/>
    <xf numFmtId="177" fontId="0" fillId="0" borderId="71" xfId="0" applyNumberFormat="1" applyFill="1" applyBorder="1"/>
    <xf numFmtId="177" fontId="0" fillId="33" borderId="94" xfId="0" applyNumberFormat="1" applyFill="1" applyBorder="1"/>
    <xf numFmtId="177" fontId="0" fillId="33" borderId="93" xfId="0" applyNumberFormat="1" applyFill="1" applyBorder="1"/>
    <xf numFmtId="177" fontId="0" fillId="33" borderId="95" xfId="0" applyNumberFormat="1" applyFill="1" applyBorder="1"/>
    <xf numFmtId="177" fontId="0" fillId="33" borderId="96" xfId="0" applyNumberFormat="1" applyFill="1" applyBorder="1"/>
    <xf numFmtId="165" fontId="57" fillId="33" borderId="0" xfId="39" applyFont="1" applyFill="1"/>
    <xf numFmtId="166" fontId="57" fillId="33" borderId="0" xfId="92" applyNumberFormat="1" applyFont="1" applyFill="1"/>
    <xf numFmtId="1" fontId="57" fillId="33" borderId="0" xfId="0" applyNumberFormat="1" applyFont="1" applyFill="1"/>
    <xf numFmtId="3" fontId="0" fillId="0" borderId="0" xfId="0" applyNumberFormat="1" applyFill="1"/>
    <xf numFmtId="3" fontId="57" fillId="0" borderId="0" xfId="39" applyNumberFormat="1" applyFont="1" applyFill="1"/>
    <xf numFmtId="10" fontId="57" fillId="0" borderId="0" xfId="0" applyNumberFormat="1" applyFont="1" applyFill="1"/>
    <xf numFmtId="166" fontId="57" fillId="0" borderId="0" xfId="92" applyNumberFormat="1" applyFont="1" applyFill="1"/>
    <xf numFmtId="176" fontId="0" fillId="34" borderId="0" xfId="0" applyNumberFormat="1" applyFill="1"/>
    <xf numFmtId="166" fontId="0" fillId="34" borderId="0" xfId="0" applyNumberFormat="1" applyFill="1"/>
    <xf numFmtId="176" fontId="0" fillId="34" borderId="0" xfId="0" applyNumberFormat="1" applyFill="1" applyAlignment="1">
      <alignment horizontal="left" indent="1"/>
    </xf>
    <xf numFmtId="41" fontId="0" fillId="34" borderId="0" xfId="0" applyNumberFormat="1" applyFill="1"/>
    <xf numFmtId="0" fontId="2" fillId="0" borderId="0" xfId="0" applyFont="1" applyBorder="1" applyAlignment="1">
      <alignment wrapText="1"/>
    </xf>
    <xf numFmtId="0" fontId="0" fillId="0" borderId="0" xfId="0" applyAlignment="1"/>
    <xf numFmtId="0" fontId="68" fillId="0" borderId="0" xfId="0" applyFont="1" applyAlignment="1">
      <alignment wrapText="1"/>
    </xf>
    <xf numFmtId="0" fontId="55" fillId="0" borderId="0" xfId="0" applyFont="1" applyAlignment="1">
      <alignment horizontal="center"/>
    </xf>
    <xf numFmtId="0" fontId="57" fillId="0" borderId="64" xfId="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65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9" fillId="0" borderId="0" xfId="73" applyFont="1" applyBorder="1"/>
    <xf numFmtId="0" fontId="2" fillId="0" borderId="61" xfId="73" applyFont="1" applyBorder="1" applyAlignment="1">
      <alignment horizontal="center" vertical="center"/>
    </xf>
    <xf numFmtId="0" fontId="2" fillId="0" borderId="21" xfId="73" applyFont="1" applyBorder="1" applyAlignment="1">
      <alignment horizontal="center" vertical="center"/>
    </xf>
    <xf numFmtId="0" fontId="1" fillId="0" borderId="13" xfId="73" applyFont="1" applyBorder="1"/>
    <xf numFmtId="0" fontId="29" fillId="0" borderId="66" xfId="73" applyFont="1" applyBorder="1"/>
    <xf numFmtId="0" fontId="29" fillId="0" borderId="12" xfId="73" applyFont="1" applyBorder="1"/>
    <xf numFmtId="0" fontId="26" fillId="0" borderId="61" xfId="73" applyFont="1" applyBorder="1" applyAlignment="1">
      <alignment horizontal="center" wrapText="1"/>
    </xf>
    <xf numFmtId="0" fontId="26" fillId="0" borderId="30" xfId="73" applyFont="1" applyBorder="1" applyAlignment="1">
      <alignment horizontal="center" wrapText="1"/>
    </xf>
    <xf numFmtId="0" fontId="26" fillId="0" borderId="22" xfId="73" applyFont="1" applyBorder="1" applyAlignment="1">
      <alignment horizontal="center" wrapText="1"/>
    </xf>
    <xf numFmtId="0" fontId="26" fillId="0" borderId="21" xfId="73" applyFont="1" applyBorder="1" applyAlignment="1">
      <alignment horizontal="center" wrapText="1"/>
    </xf>
    <xf numFmtId="0" fontId="26" fillId="0" borderId="20" xfId="73" applyFont="1" applyBorder="1" applyAlignment="1">
      <alignment horizontal="center" wrapText="1"/>
    </xf>
    <xf numFmtId="0" fontId="26" fillId="0" borderId="19" xfId="73" applyFont="1" applyBorder="1" applyAlignment="1">
      <alignment horizontal="center" wrapText="1"/>
    </xf>
    <xf numFmtId="0" fontId="57" fillId="0" borderId="0" xfId="0" applyFont="1" applyAlignment="1">
      <alignment vertical="top" wrapText="1"/>
    </xf>
  </cellXfs>
  <cellStyles count="12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ssump Decimal (2)" xfId="25"/>
    <cellStyle name="assump Percent (0)" xfId="26"/>
    <cellStyle name="assump Percent (3)" xfId="27"/>
    <cellStyle name="assump Thousands (0)" xfId="28"/>
    <cellStyle name="assump Units (0)" xfId="29"/>
    <cellStyle name="Auto input abs" xfId="30"/>
    <cellStyle name="Auto input IR£'000" xfId="31"/>
    <cellStyle name="Bad 2" xfId="32"/>
    <cellStyle name="Calc rule" xfId="33"/>
    <cellStyle name="Calculation 2" xfId="34"/>
    <cellStyle name="Calculation abs" xfId="35"/>
    <cellStyle name="Calculation IR£'000" xfId="36"/>
    <cellStyle name="Calculation year" xfId="37"/>
    <cellStyle name="Check Cell 2" xfId="38"/>
    <cellStyle name="Comma" xfId="39" builtinId="3"/>
    <cellStyle name="Comma 2" xfId="40"/>
    <cellStyle name="Comma 3" xfId="41"/>
    <cellStyle name="Date" xfId="42"/>
    <cellStyle name="Decimal (2)" xfId="43"/>
    <cellStyle name="Decimal (3)" xfId="44"/>
    <cellStyle name="Euro" xfId="45"/>
    <cellStyle name="Explanatory Text 2" xfId="46"/>
    <cellStyle name="Good 2" xfId="47"/>
    <cellStyle name="Heading" xfId="48"/>
    <cellStyle name="Heading 1 2" xfId="49"/>
    <cellStyle name="Heading 2 2" xfId="50"/>
    <cellStyle name="Heading 3 2" xfId="51"/>
    <cellStyle name="Heading 4 2" xfId="52"/>
    <cellStyle name="HideZeros" xfId="53"/>
    <cellStyle name="Index" xfId="54"/>
    <cellStyle name="InflationIndex" xfId="55"/>
    <cellStyle name="Input 2" xfId="56"/>
    <cellStyle name="Input/Output IR£'000" xfId="57"/>
    <cellStyle name="Input/Output IR£'000 bold" xfId="58"/>
    <cellStyle name="Integer" xfId="59"/>
    <cellStyle name="Invisible" xfId="60"/>
    <cellStyle name="Label" xfId="61"/>
    <cellStyle name="Level split" xfId="62"/>
    <cellStyle name="Linked Cell 2" xfId="63"/>
    <cellStyle name="Millions" xfId="64"/>
    <cellStyle name="Millions ++" xfId="65"/>
    <cellStyle name="Millions 1" xfId="66"/>
    <cellStyle name="Money" xfId="67"/>
    <cellStyle name="Month" xfId="68"/>
    <cellStyle name="Neutral 2" xfId="69"/>
    <cellStyle name="Normal" xfId="0" builtinId="0"/>
    <cellStyle name="Normal 2" xfId="70"/>
    <cellStyle name="Normal 2 2" xfId="71"/>
    <cellStyle name="Normal 2 3" xfId="72"/>
    <cellStyle name="Normal 3" xfId="73"/>
    <cellStyle name="Normal 3 2" xfId="74"/>
    <cellStyle name="Normal 4" xfId="75"/>
    <cellStyle name="Normal 4 2" xfId="76"/>
    <cellStyle name="Normal 5" xfId="77"/>
    <cellStyle name="Normal 6" xfId="78"/>
    <cellStyle name="Normal 7" xfId="79"/>
    <cellStyle name="Note 2" xfId="80"/>
    <cellStyle name="Output %" xfId="81"/>
    <cellStyle name="Output 2" xfId="82"/>
    <cellStyle name="Output abs" xfId="83"/>
    <cellStyle name="Output Amounts" xfId="84"/>
    <cellStyle name="Output Column Headings" xfId="85"/>
    <cellStyle name="Output IR£" xfId="86"/>
    <cellStyle name="Output IR£'000" xfId="87"/>
    <cellStyle name="Output IR£'000 bold" xfId="88"/>
    <cellStyle name="Output Line Items" xfId="89"/>
    <cellStyle name="Output Report Heading" xfId="90"/>
    <cellStyle name="Output Report Title" xfId="91"/>
    <cellStyle name="Percent" xfId="92" builtinId="5"/>
    <cellStyle name="Percent (0)" xfId="93"/>
    <cellStyle name="Percent (1)" xfId="94"/>
    <cellStyle name="Percent (3)" xfId="95"/>
    <cellStyle name="Percent 0" xfId="96"/>
    <cellStyle name="Percent 2" xfId="97"/>
    <cellStyle name="Percent 2 2" xfId="98"/>
    <cellStyle name="Percent 3" xfId="99"/>
    <cellStyle name="Percent 4" xfId="100"/>
    <cellStyle name="Percent1" xfId="101"/>
    <cellStyle name="Price" xfId="102"/>
    <cellStyle name="Report heading" xfId="103"/>
    <cellStyle name="Report label" xfId="104"/>
    <cellStyle name="Report label bold" xfId="105"/>
    <cellStyle name="Sub-title" xfId="106"/>
    <cellStyle name="Ten" xfId="107"/>
    <cellStyle name="Text" xfId="108"/>
    <cellStyle name="Thousands (0)" xfId="109"/>
    <cellStyle name="Thousands (2)" xfId="110"/>
    <cellStyle name="Thousands 0" xfId="111"/>
    <cellStyle name="Thousands 1" xfId="112"/>
    <cellStyle name="Title 2" xfId="113"/>
    <cellStyle name="Total 2" xfId="114"/>
    <cellStyle name="Units (0)" xfId="115"/>
    <cellStyle name="Units 0" xfId="116"/>
    <cellStyle name="Units 1" xfId="117"/>
    <cellStyle name="Units 2" xfId="118"/>
    <cellStyle name="Warning Text 2" xfId="119"/>
    <cellStyle name="Working Capit" xfId="120"/>
    <cellStyle name="Year" xfId="121"/>
    <cellStyle name="Yellow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SC%203rd%20(2011)%20Determination\1.%20Price%20Cap%20Calculation\Models%20from%20previous%20determinations\2007%20IMR%20Model\2007-03-23%20Copy%20of%20ATSC2007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an\My%20Documents\Clients\CAR\CAR_DAA_model\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an\My%20Documents\Clients\CAR\CAR_DAA_model\DAA211004model\ART_Appendi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an\My%20Documents\Clients\CAR\CAR_DAA_model\DAA211004model\DummyOpe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AN%20ROWSON\My%20Documents\Clients\OFREG\GasDistriibutionFormulaeIMR_Oct04_Dumm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Review"/>
      <sheetName val="Formula"/>
      <sheetName val="Graphs"/>
      <sheetName val="Tables"/>
      <sheetName val="2002Review"/>
      <sheetName val="Sheet3"/>
      <sheetName val="Forecasts"/>
      <sheetName val="Variances"/>
      <sheetName val="CARcpi"/>
      <sheetName val="Controls"/>
      <sheetName val="MTOWdata"/>
      <sheetName val="IAA_regulation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O7">
            <v>98.166666666666671</v>
          </cell>
          <cell r="P7">
            <v>102.73333333333335</v>
          </cell>
          <cell r="Q7">
            <v>106.30833333333332</v>
          </cell>
          <cell r="R7">
            <v>108.64166666666665</v>
          </cell>
          <cell r="S7">
            <v>111.28333333333332</v>
          </cell>
          <cell r="T7">
            <v>115.66666666666667</v>
          </cell>
        </row>
      </sheetData>
      <sheetData sheetId="9">
        <row r="2">
          <cell r="E2" t="str">
            <v>CPI2001-98.20</v>
          </cell>
        </row>
        <row r="3">
          <cell r="E3" t="str">
            <v>CPI2002-102.70</v>
          </cell>
        </row>
        <row r="4">
          <cell r="E4" t="str">
            <v>CPI2003-106.30</v>
          </cell>
        </row>
        <row r="5">
          <cell r="E5" t="str">
            <v>CPI2004-108.60</v>
          </cell>
        </row>
        <row r="6">
          <cell r="E6" t="str">
            <v>CPI2005-111.30</v>
          </cell>
        </row>
        <row r="7">
          <cell r="E7" t="str">
            <v>CPI2006-115.70</v>
          </cell>
        </row>
        <row r="8">
          <cell r="E8" t="str">
            <v>CPI2006 estimated-0.00</v>
          </cell>
        </row>
        <row r="11">
          <cell r="B11">
            <v>6</v>
          </cell>
          <cell r="D11">
            <v>115.7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  <sheetName val="CPI_1953"/>
      <sheetName val="CPIdata"/>
      <sheetName val="CARcpi"/>
    </sheetNames>
    <sheetDataSet>
      <sheetData sheetId="0">
        <row r="35">
          <cell r="P35">
            <v>97.066666666666663</v>
          </cell>
        </row>
      </sheetData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ces"/>
      <sheetName val="reference"/>
      <sheetName val="CARapp"/>
    </sheetNames>
    <sheetDataSet>
      <sheetData sheetId="0"/>
      <sheetData sheetId="1">
        <row r="4">
          <cell r="E4">
            <v>0.78756400000000004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 - Location"/>
      <sheetName val="L - Business Units"/>
      <sheetName val="L - Prime Accounts"/>
      <sheetName val="I - GL Data"/>
      <sheetName val="I - Traffic"/>
      <sheetName val="I - Assumptions"/>
      <sheetName val="I - FTE Data"/>
      <sheetName val="I - AdditFTE's"/>
      <sheetName val="I - PayLumpInput"/>
      <sheetName val="I - PayAbsLump"/>
      <sheetName val="I - PayCCPercent"/>
      <sheetName val="I - NonPayroll based on Capex"/>
      <sheetName val="I - NonPayCCPercent"/>
      <sheetName val="I - NonPayLumpInput"/>
      <sheetName val="Sheet1"/>
      <sheetName val="C - FCast00to09"/>
      <sheetName val="C - Reconciliation"/>
      <sheetName val="C - ToRegModel"/>
      <sheetName val="C - FCast00to09 (2)"/>
      <sheetName val="Map- Legend"/>
      <sheetName val="C - StaffByDept"/>
      <sheetName val="R - Opex Analysis"/>
      <sheetName val="R - Activity Pivot"/>
      <sheetName val="CARopx"/>
      <sheetName val="DummyOpex"/>
    </sheetNames>
    <sheetDataSet>
      <sheetData sheetId="0"/>
      <sheetData sheetId="1"/>
      <sheetData sheetId="2">
        <row r="1">
          <cell r="A1" t="str">
            <v>Child</v>
          </cell>
          <cell r="B1" t="str">
            <v>Child Name</v>
          </cell>
          <cell r="C1" t="str">
            <v>Parent</v>
          </cell>
          <cell r="D1" t="str">
            <v>Level</v>
          </cell>
          <cell r="E1" t="str">
            <v>OpexSplit</v>
          </cell>
          <cell r="F1" t="str">
            <v>CodeLetters</v>
          </cell>
        </row>
        <row r="2">
          <cell r="A2" t="str">
            <v>GGGGGP1</v>
          </cell>
          <cell r="B2" t="str">
            <v>Retained Profit for the year</v>
          </cell>
          <cell r="D2">
            <v>0</v>
          </cell>
        </row>
        <row r="3">
          <cell r="A3" t="str">
            <v>GGGGP05</v>
          </cell>
          <cell r="B3" t="str">
            <v>Turnover</v>
          </cell>
          <cell r="C3" t="str">
            <v>GGGGGP1</v>
          </cell>
          <cell r="D3">
            <v>1</v>
          </cell>
        </row>
        <row r="4">
          <cell r="A4" t="str">
            <v>GGGGP10</v>
          </cell>
          <cell r="B4" t="str">
            <v>Total Costs</v>
          </cell>
          <cell r="C4" t="str">
            <v>GGGGGP1</v>
          </cell>
          <cell r="D4">
            <v>1</v>
          </cell>
        </row>
        <row r="5">
          <cell r="A5" t="str">
            <v>GGGGP15</v>
          </cell>
          <cell r="B5" t="str">
            <v>Depreciation Amortisation and Disposals</v>
          </cell>
          <cell r="C5" t="str">
            <v>GGGGGP1</v>
          </cell>
          <cell r="D5">
            <v>1</v>
          </cell>
        </row>
        <row r="6">
          <cell r="A6" t="str">
            <v>GGGGP20</v>
          </cell>
          <cell r="B6" t="str">
            <v>Share of Profit for the period</v>
          </cell>
          <cell r="C6" t="str">
            <v>GGGGGP1</v>
          </cell>
          <cell r="D6">
            <v>1</v>
          </cell>
        </row>
        <row r="7">
          <cell r="A7" t="str">
            <v>GGGGP25</v>
          </cell>
          <cell r="B7" t="str">
            <v>Exceptional Items</v>
          </cell>
          <cell r="C7" t="str">
            <v>GGGGGP1</v>
          </cell>
          <cell r="D7">
            <v>1</v>
          </cell>
        </row>
        <row r="8">
          <cell r="A8" t="str">
            <v>GGGGP30</v>
          </cell>
          <cell r="B8" t="str">
            <v>Net Interest Payable</v>
          </cell>
          <cell r="C8" t="str">
            <v>GGGGGP1</v>
          </cell>
          <cell r="D8">
            <v>1</v>
          </cell>
        </row>
        <row r="9">
          <cell r="A9" t="str">
            <v>GGGGP35</v>
          </cell>
          <cell r="B9" t="str">
            <v>Taxation Charge</v>
          </cell>
          <cell r="C9" t="str">
            <v>GGGGGP1</v>
          </cell>
          <cell r="D9">
            <v>1</v>
          </cell>
        </row>
        <row r="10">
          <cell r="A10" t="str">
            <v>GGGGP40</v>
          </cell>
          <cell r="B10" t="str">
            <v>Dividends</v>
          </cell>
          <cell r="C10" t="str">
            <v>GGGGGP1</v>
          </cell>
          <cell r="D10">
            <v>1</v>
          </cell>
        </row>
        <row r="11">
          <cell r="A11" t="str">
            <v>GGGGP45</v>
          </cell>
          <cell r="B11" t="str">
            <v>Minority Interest</v>
          </cell>
          <cell r="C11" t="str">
            <v>GGGGGP1</v>
          </cell>
          <cell r="D11">
            <v>1</v>
          </cell>
        </row>
        <row r="12">
          <cell r="A12" t="str">
            <v>GGGPA13</v>
          </cell>
          <cell r="B12" t="str">
            <v>Cost of Sales</v>
          </cell>
          <cell r="C12" t="str">
            <v>GGGGP10</v>
          </cell>
          <cell r="D12">
            <v>2</v>
          </cell>
        </row>
        <row r="13">
          <cell r="A13" t="str">
            <v>GGGPA21</v>
          </cell>
          <cell r="B13" t="str">
            <v>Payroll &amp; Related Costs</v>
          </cell>
          <cell r="C13" t="str">
            <v>GGGGP10</v>
          </cell>
          <cell r="D13">
            <v>2</v>
          </cell>
          <cell r="E13" t="str">
            <v>Payroll</v>
          </cell>
          <cell r="F13" t="str">
            <v>Pay</v>
          </cell>
        </row>
        <row r="14">
          <cell r="A14" t="str">
            <v>GGGPA31</v>
          </cell>
          <cell r="B14" t="str">
            <v>Materials and Services</v>
          </cell>
          <cell r="C14" t="str">
            <v>GGGGP10</v>
          </cell>
          <cell r="D14">
            <v>2</v>
          </cell>
          <cell r="E14" t="str">
            <v>NonPayroll</v>
          </cell>
          <cell r="F14" t="str">
            <v>NonPay</v>
          </cell>
        </row>
        <row r="15">
          <cell r="A15" t="str">
            <v>GGPA211</v>
          </cell>
          <cell r="B15" t="str">
            <v>Payroll Costs</v>
          </cell>
          <cell r="C15" t="str">
            <v>GGGPA21</v>
          </cell>
          <cell r="D15">
            <v>3</v>
          </cell>
          <cell r="E15" t="str">
            <v>Payroll</v>
          </cell>
          <cell r="F15" t="str">
            <v>Pay</v>
          </cell>
        </row>
        <row r="16">
          <cell r="A16" t="str">
            <v>GGPA212</v>
          </cell>
          <cell r="B16" t="str">
            <v>Pension &amp; Life Cover Costs</v>
          </cell>
          <cell r="C16" t="str">
            <v>GGGPA21</v>
          </cell>
          <cell r="D16">
            <v>3</v>
          </cell>
          <cell r="E16" t="str">
            <v>Payroll</v>
          </cell>
          <cell r="F16" t="str">
            <v>Pay</v>
          </cell>
        </row>
        <row r="17">
          <cell r="A17" t="str">
            <v>GGPA213</v>
          </cell>
          <cell r="B17" t="str">
            <v>Other Staff Costs</v>
          </cell>
          <cell r="C17" t="str">
            <v>GGGPA21</v>
          </cell>
          <cell r="D17">
            <v>3</v>
          </cell>
          <cell r="E17" t="str">
            <v>Payroll</v>
          </cell>
          <cell r="F17" t="str">
            <v>Pay</v>
          </cell>
        </row>
        <row r="18">
          <cell r="A18" t="str">
            <v>GGPA311</v>
          </cell>
          <cell r="B18" t="str">
            <v>Establishment Costs</v>
          </cell>
          <cell r="C18" t="str">
            <v>GGGPA31</v>
          </cell>
          <cell r="D18">
            <v>3</v>
          </cell>
          <cell r="E18" t="str">
            <v>NonPayroll</v>
          </cell>
          <cell r="F18" t="str">
            <v>NonPay</v>
          </cell>
        </row>
        <row r="19">
          <cell r="A19" t="str">
            <v>GGPA312</v>
          </cell>
          <cell r="B19" t="str">
            <v>Prof Servs Marketing &amp; Related</v>
          </cell>
          <cell r="C19" t="str">
            <v>GGGPA31</v>
          </cell>
          <cell r="D19">
            <v>3</v>
          </cell>
          <cell r="E19" t="str">
            <v>NonPayroll</v>
          </cell>
          <cell r="F19" t="str">
            <v>NonPay</v>
          </cell>
        </row>
        <row r="20">
          <cell r="A20" t="str">
            <v>GGPA313</v>
          </cell>
          <cell r="B20" t="str">
            <v>Other Materials and Services</v>
          </cell>
          <cell r="C20" t="str">
            <v>GGGPA31</v>
          </cell>
          <cell r="D20">
            <v>3</v>
          </cell>
          <cell r="E20" t="str">
            <v>NonPayroll</v>
          </cell>
          <cell r="F20" t="str">
            <v>NonPay</v>
          </cell>
        </row>
        <row r="21">
          <cell r="A21" t="str">
            <v>GGPA314</v>
          </cell>
          <cell r="B21" t="str">
            <v>Excess Charges Surrenendered Exp</v>
          </cell>
          <cell r="C21" t="str">
            <v>GGGPA31</v>
          </cell>
          <cell r="D21">
            <v>3</v>
          </cell>
          <cell r="E21" t="str">
            <v>NonPayroll</v>
          </cell>
          <cell r="F21" t="str">
            <v>NonPay</v>
          </cell>
        </row>
        <row r="22">
          <cell r="A22" t="str">
            <v>GGPA315</v>
          </cell>
          <cell r="B22" t="str">
            <v>Allocations of Mat'ls &amp; Services</v>
          </cell>
          <cell r="C22" t="str">
            <v>GGGPA31</v>
          </cell>
          <cell r="D22">
            <v>3</v>
          </cell>
          <cell r="E22" t="str">
            <v>NonPayroll</v>
          </cell>
          <cell r="F22" t="str">
            <v>NonPay</v>
          </cell>
        </row>
        <row r="23">
          <cell r="A23" t="str">
            <v>GPA2111</v>
          </cell>
          <cell r="B23" t="str">
            <v>Employment Costs</v>
          </cell>
          <cell r="C23" t="str">
            <v>GGPA211</v>
          </cell>
          <cell r="D23">
            <v>4</v>
          </cell>
          <cell r="E23" t="str">
            <v>Payroll</v>
          </cell>
          <cell r="F23" t="str">
            <v>Pay</v>
          </cell>
        </row>
        <row r="24">
          <cell r="A24" t="str">
            <v>GPA2112</v>
          </cell>
          <cell r="B24" t="str">
            <v>Labour Costs Recovered</v>
          </cell>
          <cell r="C24" t="str">
            <v>GGPA211</v>
          </cell>
          <cell r="D24">
            <v>4</v>
          </cell>
          <cell r="E24" t="str">
            <v>Payroll</v>
          </cell>
          <cell r="F24" t="str">
            <v>Pay</v>
          </cell>
        </row>
        <row r="25">
          <cell r="A25" t="str">
            <v>GPA2121</v>
          </cell>
          <cell r="B25" t="str">
            <v>Pension &amp; Life Cover Costs</v>
          </cell>
          <cell r="C25" t="str">
            <v>GGPA212</v>
          </cell>
          <cell r="D25">
            <v>4</v>
          </cell>
          <cell r="E25" t="str">
            <v>Payroll</v>
          </cell>
          <cell r="F25" t="str">
            <v>Pay</v>
          </cell>
        </row>
        <row r="26">
          <cell r="A26" t="str">
            <v>GPA2131</v>
          </cell>
          <cell r="B26" t="str">
            <v>Other Staff Costs</v>
          </cell>
          <cell r="C26" t="str">
            <v>GGPA213</v>
          </cell>
          <cell r="D26">
            <v>4</v>
          </cell>
          <cell r="E26" t="str">
            <v>Payroll</v>
          </cell>
          <cell r="F26" t="str">
            <v>Pay</v>
          </cell>
        </row>
        <row r="27">
          <cell r="A27" t="str">
            <v>GPA3111</v>
          </cell>
          <cell r="B27" t="str">
            <v>Repairs and Maintenance Costs</v>
          </cell>
          <cell r="C27" t="str">
            <v>GGPA311</v>
          </cell>
          <cell r="D27">
            <v>4</v>
          </cell>
          <cell r="E27" t="str">
            <v>Maintenance</v>
          </cell>
          <cell r="F27" t="str">
            <v>Mtce</v>
          </cell>
        </row>
        <row r="28">
          <cell r="A28" t="str">
            <v>GPA3112</v>
          </cell>
          <cell r="B28" t="str">
            <v>Rents and Rates</v>
          </cell>
          <cell r="C28" t="str">
            <v>GGPA311</v>
          </cell>
          <cell r="D28">
            <v>4</v>
          </cell>
          <cell r="E28" t="str">
            <v>Rates</v>
          </cell>
          <cell r="F28" t="str">
            <v>Rates</v>
          </cell>
        </row>
        <row r="29">
          <cell r="A29" t="str">
            <v>GPA3113</v>
          </cell>
          <cell r="B29" t="str">
            <v>Energy Costs</v>
          </cell>
          <cell r="C29" t="str">
            <v>GGPA311</v>
          </cell>
          <cell r="D29">
            <v>4</v>
          </cell>
          <cell r="E29" t="str">
            <v>NonPayroll</v>
          </cell>
          <cell r="F29" t="str">
            <v>NonPay</v>
          </cell>
        </row>
        <row r="30">
          <cell r="A30" t="str">
            <v>GPA3114</v>
          </cell>
          <cell r="B30" t="str">
            <v>Technology Operating Costs</v>
          </cell>
          <cell r="C30" t="str">
            <v>GGPA311</v>
          </cell>
          <cell r="D30">
            <v>4</v>
          </cell>
          <cell r="E30" t="str">
            <v>NonPayroll</v>
          </cell>
          <cell r="F30" t="str">
            <v>NonPay</v>
          </cell>
        </row>
        <row r="31">
          <cell r="A31" t="str">
            <v>GPA3115</v>
          </cell>
          <cell r="B31" t="str">
            <v>Insurance</v>
          </cell>
          <cell r="C31" t="str">
            <v>GGPA311</v>
          </cell>
          <cell r="D31">
            <v>4</v>
          </cell>
          <cell r="E31" t="str">
            <v>Insurance</v>
          </cell>
          <cell r="F31" t="str">
            <v>Insurance</v>
          </cell>
        </row>
        <row r="32">
          <cell r="A32" t="str">
            <v>GPA3116</v>
          </cell>
          <cell r="B32" t="str">
            <v>Cleaning Contracts &amp; Materials</v>
          </cell>
          <cell r="C32" t="str">
            <v>GGPA311</v>
          </cell>
          <cell r="D32">
            <v>4</v>
          </cell>
          <cell r="E32" t="str">
            <v>NonPayroll</v>
          </cell>
          <cell r="F32" t="str">
            <v>NonPay</v>
          </cell>
        </row>
        <row r="33">
          <cell r="A33" t="str">
            <v>GPA3117</v>
          </cell>
          <cell r="B33" t="str">
            <v>CUTE Operating Lease Costs</v>
          </cell>
          <cell r="C33" t="str">
            <v>GGPA311</v>
          </cell>
          <cell r="D33">
            <v>4</v>
          </cell>
          <cell r="E33" t="str">
            <v>NonPayroll</v>
          </cell>
          <cell r="F33" t="str">
            <v>NonPay</v>
          </cell>
        </row>
        <row r="34">
          <cell r="A34" t="str">
            <v>GPA3121</v>
          </cell>
          <cell r="B34" t="str">
            <v>Fees and Professional Services</v>
          </cell>
          <cell r="C34" t="str">
            <v>GGPA312</v>
          </cell>
          <cell r="D34">
            <v>4</v>
          </cell>
          <cell r="E34" t="str">
            <v>NonPayroll</v>
          </cell>
          <cell r="F34" t="str">
            <v>NonPay</v>
          </cell>
        </row>
        <row r="35">
          <cell r="A35" t="str">
            <v>GPA3122</v>
          </cell>
          <cell r="B35" t="str">
            <v>Marketing &amp; Promotional Costs</v>
          </cell>
          <cell r="C35" t="str">
            <v>GGPA312</v>
          </cell>
          <cell r="D35">
            <v>4</v>
          </cell>
          <cell r="E35" t="str">
            <v>NonPayroll</v>
          </cell>
          <cell r="F35" t="str">
            <v>NonPay</v>
          </cell>
        </row>
        <row r="36">
          <cell r="A36" t="str">
            <v>GPA3123</v>
          </cell>
          <cell r="B36" t="str">
            <v>Aviation Customer Support</v>
          </cell>
          <cell r="C36" t="str">
            <v>GGPA312</v>
          </cell>
          <cell r="D36">
            <v>4</v>
          </cell>
          <cell r="E36" t="str">
            <v>NonPayroll</v>
          </cell>
          <cell r="F36" t="str">
            <v>NonPay</v>
          </cell>
        </row>
        <row r="37">
          <cell r="A37" t="str">
            <v>GPA3124</v>
          </cell>
          <cell r="B37" t="str">
            <v>Regulatory Levy</v>
          </cell>
          <cell r="C37" t="str">
            <v>GGPA312</v>
          </cell>
          <cell r="D37">
            <v>4</v>
          </cell>
          <cell r="E37" t="str">
            <v>NonPayroll</v>
          </cell>
          <cell r="F37" t="str">
            <v>NonPay</v>
          </cell>
        </row>
        <row r="38">
          <cell r="A38" t="str">
            <v>GPA3131</v>
          </cell>
          <cell r="B38" t="str">
            <v>Telephone Print and Stationery</v>
          </cell>
          <cell r="C38" t="str">
            <v>GGPA313</v>
          </cell>
          <cell r="D38">
            <v>4</v>
          </cell>
          <cell r="E38" t="str">
            <v>NonPayroll</v>
          </cell>
          <cell r="F38" t="str">
            <v>NonPay</v>
          </cell>
        </row>
        <row r="39">
          <cell r="A39" t="str">
            <v>GPA3132</v>
          </cell>
          <cell r="B39" t="str">
            <v>Employee Related Overheads</v>
          </cell>
          <cell r="C39" t="str">
            <v>GGPA313</v>
          </cell>
          <cell r="D39">
            <v>4</v>
          </cell>
          <cell r="E39" t="str">
            <v>NonPayroll</v>
          </cell>
          <cell r="F39" t="str">
            <v>NonPay</v>
          </cell>
        </row>
        <row r="40">
          <cell r="A40" t="str">
            <v>GPA3133</v>
          </cell>
          <cell r="B40" t="str">
            <v>Other Overheads</v>
          </cell>
          <cell r="C40" t="str">
            <v>GGPA313</v>
          </cell>
          <cell r="D40">
            <v>4</v>
          </cell>
          <cell r="E40" t="str">
            <v>NonPayroll</v>
          </cell>
          <cell r="F40" t="str">
            <v>NonPay</v>
          </cell>
        </row>
        <row r="41">
          <cell r="A41" t="str">
            <v>GPA3134</v>
          </cell>
          <cell r="B41" t="str">
            <v>Travel &amp; Subsistence</v>
          </cell>
          <cell r="C41" t="str">
            <v>GGPA313</v>
          </cell>
          <cell r="D41">
            <v>4</v>
          </cell>
          <cell r="E41" t="str">
            <v>NonPayroll</v>
          </cell>
          <cell r="F41" t="str">
            <v>NonPay</v>
          </cell>
        </row>
        <row r="42">
          <cell r="A42" t="str">
            <v>GPA3135</v>
          </cell>
          <cell r="B42" t="str">
            <v>Car Park Direct Overheads</v>
          </cell>
          <cell r="C42" t="str">
            <v>GGPA313</v>
          </cell>
          <cell r="D42">
            <v>4</v>
          </cell>
          <cell r="E42" t="str">
            <v>NonPayroll</v>
          </cell>
          <cell r="F42" t="str">
            <v>NonPay</v>
          </cell>
        </row>
        <row r="43">
          <cell r="A43" t="str">
            <v>GPA3136</v>
          </cell>
          <cell r="B43" t="str">
            <v>Contingency</v>
          </cell>
          <cell r="C43" t="str">
            <v>GGPA313</v>
          </cell>
          <cell r="D43">
            <v>4</v>
          </cell>
          <cell r="E43" t="str">
            <v>NonPayroll</v>
          </cell>
          <cell r="F43" t="str">
            <v>NonPay</v>
          </cell>
        </row>
        <row r="44">
          <cell r="A44" t="str">
            <v>GPA3141</v>
          </cell>
          <cell r="B44" t="str">
            <v>Excess Charges Surrenendered Exp</v>
          </cell>
          <cell r="C44" t="str">
            <v>GGPA314</v>
          </cell>
          <cell r="D44">
            <v>4</v>
          </cell>
          <cell r="E44" t="str">
            <v>NonPayroll</v>
          </cell>
          <cell r="F44" t="str">
            <v>NonPay</v>
          </cell>
        </row>
        <row r="45">
          <cell r="A45" t="str">
            <v>GPA3151</v>
          </cell>
          <cell r="B45" t="str">
            <v>Allocations of Mat'ls &amp; Services</v>
          </cell>
          <cell r="C45" t="str">
            <v>GGPA315</v>
          </cell>
          <cell r="D45">
            <v>4</v>
          </cell>
          <cell r="E45" t="str">
            <v>NonPayroll</v>
          </cell>
          <cell r="F45" t="str">
            <v>NonPay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s"/>
      <sheetName val="Constraints"/>
      <sheetName val="controls"/>
    </sheetNames>
    <sheetDataSet>
      <sheetData sheetId="0"/>
      <sheetData sheetId="1"/>
      <sheetData sheetId="2">
        <row r="2">
          <cell r="A2" t="str">
            <v>Use input variances</v>
          </cell>
        </row>
        <row r="3">
          <cell r="A3" t="str">
            <v>Use input data</v>
          </cell>
        </row>
        <row r="10">
          <cell r="A1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3"/>
  <sheetViews>
    <sheetView tabSelected="1" workbookViewId="0">
      <selection activeCell="F12" sqref="F12"/>
    </sheetView>
  </sheetViews>
  <sheetFormatPr defaultRowHeight="12.75"/>
  <cols>
    <col min="2" max="2" width="21.625" bestFit="1" customWidth="1"/>
    <col min="3" max="3" width="4.625" customWidth="1"/>
    <col min="4" max="4" width="10" customWidth="1"/>
    <col min="5" max="5" width="10.375" bestFit="1" customWidth="1"/>
    <col min="6" max="6" width="11.375" bestFit="1" customWidth="1"/>
  </cols>
  <sheetData>
    <row r="1" spans="2:7" ht="15">
      <c r="B1" s="105" t="s">
        <v>82</v>
      </c>
    </row>
    <row r="2" spans="2:7" ht="15">
      <c r="B2" s="11"/>
    </row>
    <row r="3" spans="2:7">
      <c r="B3" s="224" t="s">
        <v>158</v>
      </c>
      <c r="C3" s="222"/>
      <c r="D3" s="222"/>
      <c r="E3" s="222"/>
      <c r="F3" s="222"/>
    </row>
    <row r="5" spans="2:7">
      <c r="B5" s="10" t="s">
        <v>159</v>
      </c>
    </row>
    <row r="6" spans="2:7">
      <c r="B6" s="10"/>
    </row>
    <row r="7" spans="2:7">
      <c r="B7" s="223" t="s">
        <v>160</v>
      </c>
      <c r="C7" s="141"/>
      <c r="D7" s="141"/>
      <c r="E7" s="141"/>
      <c r="F7" s="141"/>
    </row>
    <row r="8" spans="2:7" s="11" customFormat="1" ht="15"/>
    <row r="9" spans="2:7" s="11" customFormat="1" ht="15">
      <c r="D9" s="106"/>
      <c r="E9" s="106"/>
    </row>
    <row r="10" spans="2:7" s="11" customFormat="1" ht="15">
      <c r="B10" s="105"/>
    </row>
    <row r="11" spans="2:7" s="11" customFormat="1" ht="15">
      <c r="B11" s="105"/>
    </row>
    <row r="12" spans="2:7" s="11" customFormat="1" ht="15">
      <c r="B12" s="105"/>
    </row>
    <row r="13" spans="2:7" s="11" customFormat="1" ht="15">
      <c r="B13" s="105"/>
    </row>
    <row r="14" spans="2:7" s="11" customFormat="1" ht="15">
      <c r="B14" s="105"/>
    </row>
    <row r="15" spans="2:7" s="11" customFormat="1" ht="15">
      <c r="B15" s="105"/>
    </row>
    <row r="16" spans="2:7" s="11" customFormat="1" ht="15">
      <c r="B16" s="105"/>
      <c r="C16" s="105"/>
      <c r="D16" s="105"/>
      <c r="E16" s="105"/>
      <c r="F16" s="105"/>
      <c r="G16" s="105"/>
    </row>
    <row r="17" spans="4:4" s="11" customFormat="1" ht="15">
      <c r="D17" s="107"/>
    </row>
    <row r="18" spans="4:4" s="11" customFormat="1" ht="15">
      <c r="D18" s="107"/>
    </row>
    <row r="19" spans="4:4" s="11" customFormat="1" ht="15">
      <c r="D19" s="107"/>
    </row>
    <row r="20" spans="4:4" s="11" customFormat="1" ht="15">
      <c r="D20" s="107"/>
    </row>
    <row r="21" spans="4:4" s="11" customFormat="1" ht="15">
      <c r="D21" s="107"/>
    </row>
    <row r="22" spans="4:4" s="11" customFormat="1" ht="15">
      <c r="D22" s="225"/>
    </row>
    <row r="23" spans="4:4" s="11" customFormat="1" ht="15">
      <c r="D23" s="107"/>
    </row>
    <row r="24" spans="4:4" s="11" customFormat="1" ht="15">
      <c r="D24" s="107"/>
    </row>
    <row r="25" spans="4:4" s="11" customFormat="1" ht="15">
      <c r="D25" s="107"/>
    </row>
    <row r="26" spans="4:4" s="11" customFormat="1" ht="15">
      <c r="D26" s="107"/>
    </row>
    <row r="27" spans="4:4" s="11" customFormat="1" ht="15">
      <c r="D27" s="107"/>
    </row>
    <row r="28" spans="4:4" s="11" customFormat="1" ht="15">
      <c r="D28" s="107"/>
    </row>
    <row r="29" spans="4:4" s="11" customFormat="1" ht="15"/>
    <row r="30" spans="4:4" s="11" customFormat="1" ht="15"/>
    <row r="31" spans="4:4" s="11" customFormat="1" ht="15"/>
    <row r="32" spans="4:4" s="11" customFormat="1" ht="15"/>
    <row r="33" s="11" customFormat="1" ht="15"/>
    <row r="34" s="11" customFormat="1" ht="15"/>
    <row r="35" s="11" customFormat="1" ht="15"/>
    <row r="36" s="11" customFormat="1" ht="15"/>
    <row r="37" s="11" customFormat="1" ht="15"/>
    <row r="38" s="11" customFormat="1" ht="15"/>
    <row r="39" s="11" customFormat="1" ht="15"/>
    <row r="40" s="11" customFormat="1" ht="15"/>
    <row r="41" s="11" customFormat="1" ht="15"/>
    <row r="42" s="11" customFormat="1" ht="15"/>
    <row r="43" s="11" customFormat="1" ht="15"/>
    <row r="44" s="11" customFormat="1" ht="15"/>
    <row r="45" s="11" customFormat="1" ht="15"/>
    <row r="46" s="11" customFormat="1" ht="15"/>
    <row r="47" s="11" customFormat="1" ht="15"/>
    <row r="48" s="11" customFormat="1" ht="15"/>
    <row r="49" s="11" customFormat="1" ht="15"/>
    <row r="50" s="11" customFormat="1" ht="15"/>
    <row r="51" s="11" customFormat="1" ht="15"/>
    <row r="52" s="11" customFormat="1" ht="15"/>
    <row r="53" s="11" customFormat="1" ht="15"/>
    <row r="54" s="11" customFormat="1" ht="15"/>
    <row r="55" s="11" customFormat="1" ht="15"/>
    <row r="56" s="11" customFormat="1" ht="15"/>
    <row r="57" s="11" customFormat="1" ht="15"/>
    <row r="58" s="11" customFormat="1" ht="15"/>
    <row r="59" s="11" customFormat="1" ht="15"/>
    <row r="60" s="11" customFormat="1" ht="15"/>
    <row r="61" s="11" customFormat="1" ht="15"/>
    <row r="62" s="11" customFormat="1" ht="15"/>
    <row r="63" s="11" customFormat="1" ht="15"/>
    <row r="64" s="11" customFormat="1" ht="15"/>
    <row r="65" s="11" customFormat="1" ht="15"/>
    <row r="66" s="11" customFormat="1" ht="15"/>
    <row r="67" s="11" customFormat="1" ht="15"/>
    <row r="68" s="11" customFormat="1" ht="15"/>
    <row r="69" s="11" customFormat="1" ht="15"/>
    <row r="70" s="11" customFormat="1" ht="15"/>
    <row r="71" s="11" customFormat="1" ht="15"/>
    <row r="72" s="11" customFormat="1" ht="15"/>
    <row r="73" s="11" customFormat="1" ht="15"/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72"/>
  <sheetViews>
    <sheetView topLeftCell="A10" workbookViewId="0">
      <selection activeCell="B25" sqref="B25"/>
    </sheetView>
  </sheetViews>
  <sheetFormatPr defaultRowHeight="12.75"/>
  <cols>
    <col min="2" max="2" width="30.375" bestFit="1" customWidth="1"/>
    <col min="6" max="6" width="12.375" bestFit="1" customWidth="1"/>
    <col min="7" max="7" width="10.5" bestFit="1" customWidth="1"/>
    <col min="8" max="9" width="10.125" bestFit="1" customWidth="1"/>
  </cols>
  <sheetData>
    <row r="2" spans="1:35" ht="26.25">
      <c r="B2" s="101" t="s">
        <v>81</v>
      </c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35" ht="15">
      <c r="B3" s="299"/>
      <c r="C3" s="299"/>
      <c r="D3" s="299"/>
      <c r="E3" s="299"/>
      <c r="F3" s="299" t="s">
        <v>18</v>
      </c>
      <c r="G3" s="299" t="s">
        <v>18</v>
      </c>
      <c r="H3" s="299" t="s">
        <v>18</v>
      </c>
      <c r="I3" s="299" t="s">
        <v>18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5">
      <c r="B4" s="299" t="s">
        <v>181</v>
      </c>
      <c r="C4" s="299"/>
      <c r="D4" s="299"/>
      <c r="E4" s="353">
        <v>2011</v>
      </c>
      <c r="F4" s="353">
        <v>2012</v>
      </c>
      <c r="G4" s="353">
        <f>F4+1</f>
        <v>2013</v>
      </c>
      <c r="H4" s="353">
        <f>G4+1</f>
        <v>2014</v>
      </c>
      <c r="I4" s="353">
        <f>H4+1</f>
        <v>2015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5">
      <c r="B5" s="299"/>
      <c r="C5" s="299"/>
      <c r="D5" s="299"/>
      <c r="E5" s="299"/>
      <c r="F5" s="299"/>
      <c r="G5" s="299"/>
      <c r="H5" s="299"/>
      <c r="I5" s="299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5">
      <c r="B6" s="11" t="s">
        <v>7</v>
      </c>
      <c r="C6" s="299"/>
      <c r="D6" s="299"/>
      <c r="E6" s="299"/>
      <c r="F6" s="301">
        <f>'Opening RAB'!C12</f>
        <v>19904740.073370151</v>
      </c>
      <c r="G6" s="301">
        <f>F9</f>
        <v>19639513.670818552</v>
      </c>
      <c r="H6" s="301">
        <f>G9</f>
        <v>20333265.962812483</v>
      </c>
      <c r="I6" s="301">
        <f>H9</f>
        <v>19951631.770106524</v>
      </c>
      <c r="J6" s="299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15">
      <c r="A7" s="11"/>
      <c r="B7" s="11" t="s">
        <v>161</v>
      </c>
      <c r="C7" s="299"/>
      <c r="D7" s="299"/>
      <c r="E7" s="299"/>
      <c r="F7" s="302">
        <f>'Future capex and depreciation'!J34</f>
        <v>3886835.995657823</v>
      </c>
      <c r="G7" s="302">
        <f>'Future capex and depreciation'!K34</f>
        <v>5394458.9777284982</v>
      </c>
      <c r="H7" s="302">
        <f>'Future capex and depreciation'!L34</f>
        <v>4777059.3854398709</v>
      </c>
      <c r="I7" s="302">
        <f>'Future capex and depreciation'!M34</f>
        <v>4443217.6284885686</v>
      </c>
      <c r="J7" s="29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15">
      <c r="A8" s="11"/>
      <c r="B8" s="11" t="s">
        <v>31</v>
      </c>
      <c r="C8" s="303"/>
      <c r="D8" s="299"/>
      <c r="E8" s="299"/>
      <c r="F8" s="304">
        <f>'Future capex and depreciation'!J58</f>
        <v>-4152062.398209421</v>
      </c>
      <c r="G8" s="304">
        <f>'Future capex and depreciation'!K58</f>
        <v>-4700706.6857345663</v>
      </c>
      <c r="H8" s="304">
        <f>'Future capex and depreciation'!L58</f>
        <v>-5158693.5781458309</v>
      </c>
      <c r="I8" s="304">
        <f>'Future capex and depreciation'!M58</f>
        <v>-5011192.0050621303</v>
      </c>
      <c r="J8" s="299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15">
      <c r="A9" s="11"/>
      <c r="B9" s="108" t="s">
        <v>83</v>
      </c>
      <c r="C9" s="299"/>
      <c r="D9" s="299"/>
      <c r="E9" s="299"/>
      <c r="F9" s="305">
        <f>F6+F7+F8</f>
        <v>19639513.670818552</v>
      </c>
      <c r="G9" s="305">
        <f>G6+G7+G8</f>
        <v>20333265.962812483</v>
      </c>
      <c r="H9" s="305">
        <f>H6+H7+H8</f>
        <v>19951631.770106524</v>
      </c>
      <c r="I9" s="305">
        <f>I6+I7+I8</f>
        <v>19383657.393532965</v>
      </c>
      <c r="J9" s="29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5.75" thickBot="1">
      <c r="A10" s="11"/>
      <c r="B10" s="109" t="s">
        <v>42</v>
      </c>
      <c r="C10" s="299"/>
      <c r="D10" s="299"/>
      <c r="E10" s="299"/>
      <c r="F10" s="301">
        <f>(F6+F9)/2</f>
        <v>19772126.872094352</v>
      </c>
      <c r="G10" s="301">
        <f>(G6+G9)/2</f>
        <v>19986389.816815518</v>
      </c>
      <c r="H10" s="301">
        <f>(H6+H9)/2</f>
        <v>20142448.866459504</v>
      </c>
      <c r="I10" s="301">
        <f>(I6+I9)/2</f>
        <v>19667644.581819743</v>
      </c>
      <c r="J10" s="299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5">
      <c r="A11" s="11"/>
      <c r="B11" s="11"/>
      <c r="C11" s="299"/>
      <c r="D11" s="299"/>
      <c r="E11" s="299"/>
      <c r="F11" s="299"/>
      <c r="G11" s="299"/>
      <c r="H11" s="299"/>
      <c r="I11" s="299"/>
      <c r="J11" s="29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15">
      <c r="A12" s="11"/>
      <c r="B12" s="105" t="s">
        <v>84</v>
      </c>
      <c r="C12" s="299"/>
      <c r="D12" s="299"/>
      <c r="E12" s="299"/>
      <c r="F12" s="299"/>
      <c r="G12" s="299"/>
      <c r="H12" s="299"/>
      <c r="I12" s="299"/>
      <c r="J12" s="29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5">
      <c r="A13" s="11"/>
      <c r="B13" s="11" t="s">
        <v>85</v>
      </c>
      <c r="C13" s="380">
        <v>5.6000000000000001E-2</v>
      </c>
      <c r="D13" s="299"/>
      <c r="E13" s="299"/>
      <c r="F13" s="306">
        <f>C13</f>
        <v>5.6000000000000001E-2</v>
      </c>
      <c r="G13" s="306">
        <f>C13</f>
        <v>5.6000000000000001E-2</v>
      </c>
      <c r="H13" s="306">
        <f>C13</f>
        <v>5.6000000000000001E-2</v>
      </c>
      <c r="I13" s="306">
        <f>C13</f>
        <v>5.6000000000000001E-2</v>
      </c>
      <c r="J13" s="299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15.75" thickBot="1">
      <c r="A14" s="11"/>
      <c r="B14" s="110" t="s">
        <v>86</v>
      </c>
      <c r="C14" s="307">
        <f>C13/(1+C13/2)</f>
        <v>5.4474708171206226E-2</v>
      </c>
      <c r="D14" s="299"/>
      <c r="E14" s="299"/>
      <c r="F14" s="307">
        <f>F13/(1+F13/2)</f>
        <v>5.4474708171206226E-2</v>
      </c>
      <c r="G14" s="307">
        <f>G13/(1+G13/2)</f>
        <v>5.4474708171206226E-2</v>
      </c>
      <c r="H14" s="307">
        <f>H13/(1+H13/2)</f>
        <v>5.4474708171206226E-2</v>
      </c>
      <c r="I14" s="307">
        <f>I13/(1+I13/2)</f>
        <v>5.4474708171206226E-2</v>
      </c>
      <c r="J14" s="299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15">
      <c r="A15" s="11"/>
      <c r="B15" s="11"/>
      <c r="C15" s="299"/>
      <c r="D15" s="299"/>
      <c r="E15" s="299"/>
      <c r="F15" s="299"/>
      <c r="G15" s="299"/>
      <c r="H15" s="299"/>
      <c r="I15" s="299"/>
      <c r="J15" s="299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5">
      <c r="A16" s="11"/>
      <c r="B16" s="11" t="s">
        <v>87</v>
      </c>
      <c r="C16" s="299"/>
      <c r="D16" s="299"/>
      <c r="E16" s="299"/>
      <c r="F16" s="304">
        <f>F14*F10</f>
        <v>1077080.8412814045</v>
      </c>
      <c r="G16" s="304">
        <f>G14*G10</f>
        <v>1088752.7526669933</v>
      </c>
      <c r="H16" s="304">
        <f>H14*H10</f>
        <v>1097254.0238538252</v>
      </c>
      <c r="I16" s="304">
        <f>I14*I10</f>
        <v>1071389.1990096357</v>
      </c>
      <c r="J16" s="299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15">
      <c r="A17" s="11"/>
      <c r="B17" s="105" t="s">
        <v>88</v>
      </c>
      <c r="C17" s="299"/>
      <c r="D17" s="299"/>
      <c r="E17" s="299"/>
      <c r="F17" s="301">
        <f>Opex!G79</f>
        <v>16012613.177030126</v>
      </c>
      <c r="G17" s="301">
        <f>Opex!H79</f>
        <v>15169577.873075675</v>
      </c>
      <c r="H17" s="301">
        <f>Opex!I79</f>
        <v>14365184.17422343</v>
      </c>
      <c r="I17" s="301">
        <f>Opex!J79</f>
        <v>13467854.251012148</v>
      </c>
      <c r="J17" s="308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15">
      <c r="A18" s="11"/>
      <c r="B18" s="11" t="s">
        <v>89</v>
      </c>
      <c r="C18" s="299"/>
      <c r="D18" s="299"/>
      <c r="E18" s="299"/>
      <c r="F18" s="309">
        <v>50000</v>
      </c>
      <c r="G18" s="309">
        <v>50000</v>
      </c>
      <c r="H18" s="309">
        <v>50000</v>
      </c>
      <c r="I18" s="309">
        <v>50000</v>
      </c>
      <c r="J18" s="299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5">
      <c r="A19" s="11"/>
      <c r="B19" s="105" t="s">
        <v>31</v>
      </c>
      <c r="C19" s="299"/>
      <c r="D19" s="299"/>
      <c r="E19" s="299"/>
      <c r="F19" s="301">
        <f>F8*-1</f>
        <v>4152062.398209421</v>
      </c>
      <c r="G19" s="301">
        <f>G8*-1</f>
        <v>4700706.6857345663</v>
      </c>
      <c r="H19" s="301">
        <f>H8*-1</f>
        <v>5158693.5781458309</v>
      </c>
      <c r="I19" s="301">
        <f>I8*-1</f>
        <v>5011192.0050621303</v>
      </c>
      <c r="J19" s="299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>
      <c r="A20" s="11"/>
      <c r="B20" s="11" t="s">
        <v>90</v>
      </c>
      <c r="C20" s="299"/>
      <c r="D20" s="299"/>
      <c r="E20" s="299"/>
      <c r="F20" s="310">
        <v>0</v>
      </c>
      <c r="G20" s="310">
        <v>0</v>
      </c>
      <c r="H20" s="310">
        <v>0</v>
      </c>
      <c r="I20" s="310">
        <v>0</v>
      </c>
      <c r="J20" s="299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15.75" thickBot="1">
      <c r="A21" s="11"/>
      <c r="B21" s="109" t="s">
        <v>91</v>
      </c>
      <c r="C21" s="299"/>
      <c r="D21" s="299"/>
      <c r="E21" s="299"/>
      <c r="F21" s="304">
        <f>F16+F17+F18+F19+F20</f>
        <v>21291756.416520953</v>
      </c>
      <c r="G21" s="304">
        <f>G16+G17+G18+G19+G20</f>
        <v>21009037.311477236</v>
      </c>
      <c r="H21" s="304">
        <f>H16+H17+H18+H19+H20</f>
        <v>20671131.776223086</v>
      </c>
      <c r="I21" s="304">
        <f>I16+I17+I18+I19+I20</f>
        <v>19600435.455083914</v>
      </c>
      <c r="J21" s="299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5">
      <c r="A22" s="11"/>
      <c r="B22" s="14" t="s">
        <v>182</v>
      </c>
      <c r="C22" s="299"/>
      <c r="D22" s="299"/>
      <c r="E22" s="299"/>
      <c r="F22" s="304"/>
      <c r="G22" s="304"/>
      <c r="H22" s="304"/>
      <c r="I22" s="304"/>
      <c r="J22" s="299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15">
      <c r="A23" s="11"/>
      <c r="B23" s="11"/>
      <c r="C23" s="299"/>
      <c r="D23" s="299"/>
      <c r="E23" s="299"/>
      <c r="F23" s="299"/>
      <c r="G23" s="299"/>
      <c r="H23" s="299"/>
      <c r="I23" s="299"/>
      <c r="J23" s="299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15">
      <c r="A24" s="11"/>
      <c r="B24" s="105" t="s">
        <v>92</v>
      </c>
      <c r="C24" s="299"/>
      <c r="D24" s="299"/>
      <c r="E24" s="299"/>
      <c r="F24" s="299"/>
      <c r="G24" s="299"/>
      <c r="H24" s="299"/>
      <c r="I24" s="299"/>
      <c r="J24" s="299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t="15">
      <c r="A25" s="11"/>
      <c r="B25" s="11" t="s">
        <v>183</v>
      </c>
      <c r="C25" s="299"/>
      <c r="D25" s="299"/>
      <c r="E25" s="299"/>
      <c r="F25" s="301"/>
      <c r="G25" s="301">
        <f>'Future capex and depreciation'!C79</f>
        <v>4103840.2659068415</v>
      </c>
      <c r="H25" s="301">
        <f>'Future capex and depreciation'!C79</f>
        <v>4103840.2659068415</v>
      </c>
      <c r="I25" s="301">
        <f>'Future capex and depreciation'!C79</f>
        <v>4103840.2659068415</v>
      </c>
      <c r="J25" s="30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15">
      <c r="A26" s="11"/>
      <c r="B26" s="11"/>
      <c r="C26" s="299"/>
      <c r="D26" s="299"/>
      <c r="E26" s="299"/>
      <c r="F26" s="299"/>
      <c r="G26" s="299"/>
      <c r="H26" s="299"/>
      <c r="I26" s="299"/>
      <c r="J26" s="299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ht="15">
      <c r="A27" s="11"/>
      <c r="B27" s="105" t="s">
        <v>5</v>
      </c>
      <c r="C27" s="299"/>
      <c r="D27" s="300"/>
      <c r="E27" s="301">
        <f>Traffic!L18</f>
        <v>7537524.2718446599</v>
      </c>
      <c r="F27" s="311">
        <f>Traffic!M18</f>
        <v>7712815.5339805828</v>
      </c>
      <c r="G27" s="311">
        <f>Traffic!N18</f>
        <v>7923165.0485436898</v>
      </c>
      <c r="H27" s="311">
        <f>Traffic!O18</f>
        <v>8133514.5631067967</v>
      </c>
      <c r="I27" s="311">
        <f>Traffic!P18</f>
        <v>8378922.3300970877</v>
      </c>
      <c r="J27" s="299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5">
      <c r="A28" s="11"/>
      <c r="B28" s="11" t="s">
        <v>131</v>
      </c>
      <c r="C28" s="299"/>
      <c r="D28" s="299"/>
      <c r="E28" s="299">
        <v>3.85</v>
      </c>
      <c r="F28" s="312">
        <f>F21/F27</f>
        <v>2.760568604644468</v>
      </c>
      <c r="G28" s="312">
        <f>G21/G27</f>
        <v>2.6515965757066722</v>
      </c>
      <c r="H28" s="312">
        <f>H21/H27</f>
        <v>2.5414759653823298</v>
      </c>
      <c r="I28" s="312">
        <f>I21/I27</f>
        <v>2.3392549403017084</v>
      </c>
      <c r="J28" s="299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15">
      <c r="A29" s="11"/>
      <c r="B29" s="11" t="s">
        <v>258</v>
      </c>
      <c r="C29" s="299"/>
      <c r="D29" s="299"/>
      <c r="E29" s="299"/>
      <c r="F29" s="312"/>
      <c r="G29" s="312">
        <f>(G21+G25)/G27</f>
        <v>3.1695512365982994</v>
      </c>
      <c r="H29" s="312">
        <f>(H21+H25)/H27</f>
        <v>3.0460352471129668</v>
      </c>
      <c r="I29" s="312">
        <f>(I21+I25)/I27</f>
        <v>2.8290363351197327</v>
      </c>
      <c r="J29" s="299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ht="15">
      <c r="A30" s="11"/>
      <c r="B30" s="11"/>
      <c r="C30" s="299"/>
      <c r="D30" s="299"/>
      <c r="E30" s="299"/>
      <c r="F30" s="11"/>
      <c r="G30" s="312"/>
      <c r="H30" s="312"/>
      <c r="I30" s="312"/>
      <c r="J30" s="299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t="15">
      <c r="A31" s="11"/>
      <c r="B31" s="105" t="s">
        <v>49</v>
      </c>
      <c r="C31" s="299"/>
      <c r="D31" s="299"/>
      <c r="E31" s="299"/>
      <c r="F31" s="299"/>
      <c r="G31" s="299"/>
      <c r="H31" s="299"/>
      <c r="I31" s="299"/>
      <c r="J31" s="299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ht="15">
      <c r="A32" s="11"/>
      <c r="B32" s="11" t="s">
        <v>174</v>
      </c>
      <c r="C32" s="301"/>
      <c r="D32" s="301"/>
      <c r="E32" s="301">
        <f>Traffic!L24</f>
        <v>143454.05339805825</v>
      </c>
      <c r="F32" s="301">
        <f>Traffic!M24</f>
        <v>146790.19417475729</v>
      </c>
      <c r="G32" s="301">
        <f>Traffic!N24</f>
        <v>150793.56310679612</v>
      </c>
      <c r="H32" s="301">
        <f>Traffic!O24</f>
        <v>154796.93203883496</v>
      </c>
      <c r="I32" s="301">
        <f>Traffic!P24</f>
        <v>159467.5291262136</v>
      </c>
      <c r="J32" s="299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t="15">
      <c r="A33" s="11"/>
      <c r="B33" s="11" t="s">
        <v>175</v>
      </c>
      <c r="C33" s="299"/>
      <c r="D33" s="299"/>
      <c r="E33" s="301">
        <f>Traffic!L29</f>
        <v>137036.40776699028</v>
      </c>
      <c r="F33" s="301">
        <f>Traffic!M29</f>
        <v>140223.30097087377</v>
      </c>
      <c r="G33" s="301">
        <f>Traffic!N29</f>
        <v>144047.57281553396</v>
      </c>
      <c r="H33" s="301">
        <f>Traffic!O29</f>
        <v>147871.84466019415</v>
      </c>
      <c r="I33" s="301">
        <f>Traffic!P29</f>
        <v>152333.49514563105</v>
      </c>
      <c r="J33" s="299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15">
      <c r="A34" s="11"/>
      <c r="B34" s="11" t="s">
        <v>176</v>
      </c>
      <c r="C34" s="299"/>
      <c r="D34" s="299"/>
      <c r="E34" s="301">
        <f>Traffic!L34</f>
        <v>131310.72815533981</v>
      </c>
      <c r="F34" s="301">
        <f>Traffic!M34</f>
        <v>134364.46601941748</v>
      </c>
      <c r="G34" s="301">
        <f>Traffic!N34</f>
        <v>138028.95145631069</v>
      </c>
      <c r="H34" s="301">
        <f>Traffic!O34</f>
        <v>141693.43689320391</v>
      </c>
      <c r="I34" s="301">
        <f>Traffic!P34</f>
        <v>145968.66990291263</v>
      </c>
      <c r="J34" s="299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5">
      <c r="A35" s="11"/>
      <c r="B35" s="105" t="s">
        <v>130</v>
      </c>
      <c r="C35" s="299"/>
      <c r="D35" s="299"/>
      <c r="E35" s="299"/>
      <c r="F35" s="313"/>
      <c r="G35" s="313"/>
      <c r="H35" s="313"/>
      <c r="I35" s="313"/>
      <c r="J35" s="299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ht="15">
      <c r="A36" s="11"/>
      <c r="B36" s="11" t="s">
        <v>174</v>
      </c>
      <c r="C36" s="299"/>
      <c r="D36" s="299"/>
      <c r="E36" s="299"/>
      <c r="F36" s="308">
        <f>F21/F32</f>
        <v>145.04890150341106</v>
      </c>
      <c r="G36" s="308">
        <f>G21/G32</f>
        <v>139.32317055601413</v>
      </c>
      <c r="H36" s="308">
        <f>H21/H32</f>
        <v>133.53708955315199</v>
      </c>
      <c r="I36" s="308">
        <f>I21/I32</f>
        <v>122.91176493724173</v>
      </c>
      <c r="J36" s="29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ht="15">
      <c r="A37" s="11"/>
      <c r="B37" s="11" t="s">
        <v>175</v>
      </c>
      <c r="C37" s="299"/>
      <c r="D37" s="299"/>
      <c r="E37" s="299"/>
      <c r="F37" s="301">
        <f>F21/F33</f>
        <v>151.84178570253121</v>
      </c>
      <c r="G37" s="301">
        <f>G21/G33</f>
        <v>145.84790913749879</v>
      </c>
      <c r="H37" s="301">
        <f>H21/H33</f>
        <v>139.79085622232438</v>
      </c>
      <c r="I37" s="301">
        <f>I21/I33</f>
        <v>128.66792977044128</v>
      </c>
      <c r="J37" s="299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ht="15">
      <c r="A38" s="11"/>
      <c r="B38" s="11" t="s">
        <v>176</v>
      </c>
      <c r="C38" s="299"/>
      <c r="D38" s="299"/>
      <c r="E38" s="299"/>
      <c r="F38" s="301">
        <f>F21/F34</f>
        <v>158.46270258272011</v>
      </c>
      <c r="G38" s="301">
        <f>G21/G34</f>
        <v>152.2074687217129</v>
      </c>
      <c r="H38" s="301">
        <f>H21/H34</f>
        <v>145.88630376580656</v>
      </c>
      <c r="I38" s="301">
        <f>I21/I34</f>
        <v>134.2783726680571</v>
      </c>
      <c r="J38" s="299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ht="15">
      <c r="A39" s="11"/>
      <c r="B39" s="11"/>
      <c r="C39" s="299"/>
      <c r="D39" s="299"/>
      <c r="E39" s="299"/>
      <c r="F39" s="299"/>
      <c r="G39" s="299"/>
      <c r="H39" s="299"/>
      <c r="I39" s="299"/>
      <c r="J39" s="29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15">
      <c r="A40" s="11"/>
      <c r="B40" s="11" t="s">
        <v>184</v>
      </c>
      <c r="C40" s="299"/>
      <c r="D40" s="299"/>
      <c r="E40" s="299"/>
      <c r="F40" s="301">
        <f>F28*F27</f>
        <v>21291756.416520953</v>
      </c>
      <c r="G40" s="301">
        <f>G28*G27</f>
        <v>21009037.311477236</v>
      </c>
      <c r="H40" s="301">
        <f>H28*H27</f>
        <v>20671131.776223086</v>
      </c>
      <c r="I40" s="301">
        <f>I28*I27</f>
        <v>19600435.455083914</v>
      </c>
      <c r="J40" s="299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ht="15">
      <c r="A41" s="11"/>
      <c r="B41" s="11" t="s">
        <v>185</v>
      </c>
      <c r="C41" s="299"/>
      <c r="D41" s="299"/>
      <c r="E41" s="299"/>
      <c r="F41" s="301">
        <f>F37*F33</f>
        <v>21291756.416520949</v>
      </c>
      <c r="G41" s="301">
        <f>G37*G33</f>
        <v>21009037.311477236</v>
      </c>
      <c r="H41" s="301">
        <f>H37*H33</f>
        <v>20671131.776223086</v>
      </c>
      <c r="I41" s="301">
        <f>I37*I33</f>
        <v>19600435.455083914</v>
      </c>
      <c r="J41" s="299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5" ht="15">
      <c r="A42" s="11"/>
      <c r="B42" s="11"/>
      <c r="C42" s="299"/>
      <c r="D42" s="299"/>
      <c r="E42" s="299"/>
      <c r="F42" s="299"/>
      <c r="G42" s="299"/>
      <c r="H42" s="299"/>
      <c r="I42" s="299"/>
      <c r="J42" s="299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1:35" ht="15">
      <c r="A43" s="11"/>
      <c r="B43" s="11"/>
      <c r="C43" s="299"/>
      <c r="D43" s="299"/>
      <c r="E43" s="299"/>
      <c r="F43" s="299"/>
      <c r="G43" s="299"/>
      <c r="H43" s="299"/>
      <c r="I43" s="299"/>
      <c r="J43" s="299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1:35" ht="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 ht="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t="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5" ht="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 ht="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1:35" ht="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ht="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1:35" ht="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5" ht="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1:35" ht="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5" ht="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1:35" ht="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1:35" ht="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1:35" ht="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1:35" ht="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1:35" ht="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1:35" ht="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5" ht="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35" ht="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1:35" ht="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1:35" ht="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1:35" ht="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1:35" ht="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1:35" ht="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1:35" ht="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</row>
    <row r="69" spans="1:35" ht="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1:35" ht="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1:35" ht="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1:35" ht="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workbookViewId="0">
      <selection activeCell="E18" sqref="E18"/>
    </sheetView>
  </sheetViews>
  <sheetFormatPr defaultRowHeight="12.75"/>
  <cols>
    <col min="1" max="1" width="35.125" customWidth="1"/>
    <col min="8" max="17" width="12.375" bestFit="1" customWidth="1"/>
  </cols>
  <sheetData>
    <row r="1" spans="1:17">
      <c r="A1" s="238" t="s">
        <v>164</v>
      </c>
    </row>
    <row r="2" spans="1:17">
      <c r="A2" s="238" t="s">
        <v>165</v>
      </c>
    </row>
    <row r="3" spans="1:17">
      <c r="A3" s="238" t="s">
        <v>261</v>
      </c>
    </row>
    <row r="4" spans="1:17">
      <c r="A4" s="238" t="s">
        <v>260</v>
      </c>
    </row>
    <row r="6" spans="1:17">
      <c r="A6" s="10" t="s">
        <v>166</v>
      </c>
      <c r="B6" s="10">
        <v>2001</v>
      </c>
      <c r="C6" s="10">
        <v>2002</v>
      </c>
      <c r="D6" s="10">
        <v>2003</v>
      </c>
      <c r="E6" s="10">
        <v>2004</v>
      </c>
      <c r="F6" s="10">
        <v>2005</v>
      </c>
      <c r="G6" s="10">
        <v>2006</v>
      </c>
      <c r="H6" s="10">
        <v>2007</v>
      </c>
      <c r="I6" s="10">
        <v>2008</v>
      </c>
      <c r="J6" s="10">
        <v>2009</v>
      </c>
      <c r="K6" s="10">
        <v>2010</v>
      </c>
      <c r="L6" s="10">
        <v>2011</v>
      </c>
      <c r="M6" s="10">
        <v>2012</v>
      </c>
      <c r="N6" s="10">
        <v>2013</v>
      </c>
      <c r="O6" s="10">
        <v>2014</v>
      </c>
      <c r="P6" s="10">
        <v>2015</v>
      </c>
      <c r="Q6" s="10">
        <v>2016</v>
      </c>
    </row>
    <row r="7" spans="1:17">
      <c r="A7" t="s">
        <v>167</v>
      </c>
      <c r="B7" s="386">
        <v>223367</v>
      </c>
      <c r="C7" s="386">
        <v>216549</v>
      </c>
      <c r="D7" s="386">
        <v>228066</v>
      </c>
      <c r="E7" s="386">
        <v>226067</v>
      </c>
      <c r="F7" s="386">
        <v>241582</v>
      </c>
      <c r="G7" s="386">
        <v>247000</v>
      </c>
      <c r="H7" s="386">
        <v>266000</v>
      </c>
      <c r="I7" s="386">
        <v>269000</v>
      </c>
      <c r="J7" s="386">
        <v>226000</v>
      </c>
      <c r="K7" s="386">
        <v>206000</v>
      </c>
      <c r="L7" s="144">
        <v>217000</v>
      </c>
      <c r="M7" s="144">
        <v>226000</v>
      </c>
      <c r="N7" s="144">
        <v>237000</v>
      </c>
      <c r="O7" s="144">
        <v>248000</v>
      </c>
      <c r="P7" s="144">
        <v>261000</v>
      </c>
      <c r="Q7" s="144">
        <v>275000</v>
      </c>
    </row>
    <row r="8" spans="1:17">
      <c r="A8" t="s">
        <v>43</v>
      </c>
      <c r="B8" s="386">
        <v>223367</v>
      </c>
      <c r="C8" s="386">
        <v>216549</v>
      </c>
      <c r="D8" s="386">
        <v>228066</v>
      </c>
      <c r="E8" s="386">
        <v>226067</v>
      </c>
      <c r="F8" s="386">
        <v>241582</v>
      </c>
      <c r="G8" s="386">
        <v>247000</v>
      </c>
      <c r="H8" s="386">
        <v>266000</v>
      </c>
      <c r="I8" s="386">
        <v>269000</v>
      </c>
      <c r="J8" s="386">
        <v>226000</v>
      </c>
      <c r="K8" s="386">
        <v>206000</v>
      </c>
      <c r="L8" s="144">
        <v>215000</v>
      </c>
      <c r="M8" s="144">
        <v>220000</v>
      </c>
      <c r="N8" s="144">
        <v>226000</v>
      </c>
      <c r="O8" s="144">
        <v>232000</v>
      </c>
      <c r="P8" s="144">
        <v>239000</v>
      </c>
      <c r="Q8" s="144">
        <v>246000</v>
      </c>
    </row>
    <row r="9" spans="1:17">
      <c r="A9" t="s">
        <v>168</v>
      </c>
      <c r="B9" s="386">
        <v>223367</v>
      </c>
      <c r="C9" s="386">
        <v>216549</v>
      </c>
      <c r="D9" s="386">
        <v>228066</v>
      </c>
      <c r="E9" s="386">
        <v>226067</v>
      </c>
      <c r="F9" s="386">
        <v>241582</v>
      </c>
      <c r="G9" s="386">
        <v>247000</v>
      </c>
      <c r="H9" s="386">
        <v>266000</v>
      </c>
      <c r="I9" s="386">
        <v>269000</v>
      </c>
      <c r="J9" s="386">
        <v>226000</v>
      </c>
      <c r="K9" s="386">
        <v>206000</v>
      </c>
      <c r="L9" s="144">
        <v>212000</v>
      </c>
      <c r="M9" s="144">
        <v>217000</v>
      </c>
      <c r="N9" s="144">
        <v>220000</v>
      </c>
      <c r="O9" s="144">
        <v>224000</v>
      </c>
      <c r="P9" s="144">
        <v>228000</v>
      </c>
      <c r="Q9" s="144">
        <v>233000</v>
      </c>
    </row>
    <row r="10" spans="1:17">
      <c r="I10" s="144"/>
      <c r="L10" s="144"/>
    </row>
    <row r="11" spans="1:17">
      <c r="A11" s="10" t="s">
        <v>169</v>
      </c>
    </row>
    <row r="12" spans="1:17">
      <c r="A12" t="s">
        <v>167</v>
      </c>
      <c r="C12" s="6"/>
      <c r="D12" s="6"/>
      <c r="E12" s="6"/>
      <c r="F12" s="6"/>
      <c r="G12" s="6"/>
      <c r="H12" s="6"/>
      <c r="I12" s="6"/>
      <c r="J12" s="6"/>
      <c r="K12" s="6"/>
      <c r="L12" s="387">
        <v>5.3398058252427182E-2</v>
      </c>
      <c r="M12" s="387">
        <v>4.1474654377880185E-2</v>
      </c>
      <c r="N12" s="387">
        <v>4.8672566371681415E-2</v>
      </c>
      <c r="O12" s="387">
        <v>4.6413502109704644E-2</v>
      </c>
      <c r="P12" s="387">
        <v>5.2419354838709679E-2</v>
      </c>
      <c r="Q12" s="387">
        <v>5.3639846743295021E-2</v>
      </c>
    </row>
    <row r="13" spans="1:17">
      <c r="A13" t="s">
        <v>43</v>
      </c>
      <c r="C13" s="6"/>
      <c r="D13" s="6"/>
      <c r="E13" s="6"/>
      <c r="F13" s="6"/>
      <c r="G13" s="6"/>
      <c r="H13" s="6"/>
      <c r="I13" s="6"/>
      <c r="J13" s="6"/>
      <c r="K13" s="6"/>
      <c r="L13" s="387">
        <v>4.3689320388349516E-2</v>
      </c>
      <c r="M13" s="387">
        <v>2.3255813953488372E-2</v>
      </c>
      <c r="N13" s="387">
        <v>2.7272727272727271E-2</v>
      </c>
      <c r="O13" s="387">
        <v>2.6548672566371681E-2</v>
      </c>
      <c r="P13" s="387">
        <v>3.017241379310345E-2</v>
      </c>
      <c r="Q13" s="387">
        <v>2.9288702928870293E-2</v>
      </c>
    </row>
    <row r="14" spans="1:17">
      <c r="A14" t="s">
        <v>168</v>
      </c>
      <c r="C14" s="6"/>
      <c r="D14" s="6"/>
      <c r="E14" s="6"/>
      <c r="F14" s="6"/>
      <c r="G14" s="6"/>
      <c r="H14" s="6"/>
      <c r="I14" s="6"/>
      <c r="J14" s="6"/>
      <c r="K14" s="6"/>
      <c r="L14" s="387">
        <v>2.9126213592233011E-2</v>
      </c>
      <c r="M14" s="387">
        <v>2.358490566037736E-2</v>
      </c>
      <c r="N14" s="387">
        <v>1.3824884792626729E-2</v>
      </c>
      <c r="O14" s="387">
        <v>1.8181818181818181E-2</v>
      </c>
      <c r="P14" s="387">
        <v>1.7857142857142856E-2</v>
      </c>
      <c r="Q14" s="387">
        <v>2.1929824561403508E-2</v>
      </c>
    </row>
    <row r="16" spans="1:17">
      <c r="A16" s="10" t="s">
        <v>5</v>
      </c>
    </row>
    <row r="17" spans="1:17">
      <c r="A17" t="s">
        <v>167</v>
      </c>
      <c r="B17" s="222">
        <v>7552392.2000000002</v>
      </c>
      <c r="C17" s="222">
        <v>7200193.0000000075</v>
      </c>
      <c r="D17" s="222">
        <v>7592971.9000000115</v>
      </c>
      <c r="E17" s="222">
        <v>7729453.7000000188</v>
      </c>
      <c r="F17" s="222">
        <v>8657830.9000000302</v>
      </c>
      <c r="G17" s="222">
        <v>9404557</v>
      </c>
      <c r="H17" s="388">
        <v>9905000</v>
      </c>
      <c r="I17" s="388">
        <v>9937000</v>
      </c>
      <c r="J17" s="388">
        <v>8420000</v>
      </c>
      <c r="K17" s="388">
        <v>7222000</v>
      </c>
      <c r="L17" s="239">
        <v>7607640.7766990289</v>
      </c>
      <c r="M17" s="239">
        <v>7923165.0485436888</v>
      </c>
      <c r="N17" s="239">
        <v>8308805.8252427178</v>
      </c>
      <c r="O17" s="239">
        <v>8694446.6019417476</v>
      </c>
      <c r="P17" s="239">
        <v>9150203.8834951464</v>
      </c>
      <c r="Q17" s="239">
        <v>9641019.4174757283</v>
      </c>
    </row>
    <row r="18" spans="1:17">
      <c r="A18" t="s">
        <v>43</v>
      </c>
      <c r="B18" s="222">
        <v>7552392.2000000002</v>
      </c>
      <c r="C18" s="222">
        <v>7200193.0000000075</v>
      </c>
      <c r="D18" s="222">
        <v>7592971.9000000115</v>
      </c>
      <c r="E18" s="222">
        <v>7729453.7000000188</v>
      </c>
      <c r="F18" s="222">
        <v>8657830.9000000302</v>
      </c>
      <c r="G18" s="222">
        <v>9404557</v>
      </c>
      <c r="H18" s="386">
        <v>9905000</v>
      </c>
      <c r="I18" s="386">
        <v>9937000</v>
      </c>
      <c r="J18" s="386">
        <v>8420000</v>
      </c>
      <c r="K18" s="386">
        <v>7222000</v>
      </c>
      <c r="L18" s="144">
        <v>7537524.2718446599</v>
      </c>
      <c r="M18" s="144">
        <v>7712815.5339805828</v>
      </c>
      <c r="N18" s="144">
        <v>7923165.0485436898</v>
      </c>
      <c r="O18" s="144">
        <v>8133514.5631067967</v>
      </c>
      <c r="P18" s="144">
        <v>8378922.3300970877</v>
      </c>
      <c r="Q18" s="144">
        <v>8624330.0970873777</v>
      </c>
    </row>
    <row r="19" spans="1:17">
      <c r="A19" t="s">
        <v>168</v>
      </c>
      <c r="B19" s="222">
        <v>7552392.2000000002</v>
      </c>
      <c r="C19" s="222">
        <v>7200193.0000000075</v>
      </c>
      <c r="D19" s="222">
        <v>7592971.9000000115</v>
      </c>
      <c r="E19" s="222">
        <v>7729453.7000000188</v>
      </c>
      <c r="F19" s="222">
        <v>8657830.9000000302</v>
      </c>
      <c r="G19" s="222">
        <v>9404557</v>
      </c>
      <c r="H19" s="386">
        <v>9905000</v>
      </c>
      <c r="I19" s="386">
        <v>9937000</v>
      </c>
      <c r="J19" s="386">
        <v>8420000</v>
      </c>
      <c r="K19" s="386">
        <v>7222000</v>
      </c>
      <c r="L19" s="144">
        <v>7432349.5145631069</v>
      </c>
      <c r="M19" s="144">
        <v>7607640.7766990298</v>
      </c>
      <c r="N19" s="144">
        <v>7712815.5339805838</v>
      </c>
      <c r="O19" s="144">
        <v>7853048.5436893208</v>
      </c>
      <c r="P19" s="144">
        <v>7993281.5533980578</v>
      </c>
      <c r="Q19" s="144">
        <v>8168572.8155339798</v>
      </c>
    </row>
    <row r="21" spans="1:17">
      <c r="A21" s="10" t="s">
        <v>170</v>
      </c>
    </row>
    <row r="22" spans="1:17">
      <c r="A22" t="s">
        <v>174</v>
      </c>
    </row>
    <row r="23" spans="1:17">
      <c r="A23" t="s">
        <v>167</v>
      </c>
      <c r="K23" s="386">
        <v>137449</v>
      </c>
      <c r="L23" s="144">
        <v>144788.50970873787</v>
      </c>
      <c r="M23" s="144">
        <v>150793.56310679612</v>
      </c>
      <c r="N23" s="144">
        <v>158133.07281553399</v>
      </c>
      <c r="O23" s="144">
        <v>165472.58252427186</v>
      </c>
      <c r="P23" s="144">
        <v>174146.54854368934</v>
      </c>
      <c r="Q23" s="144">
        <v>183487.74271844662</v>
      </c>
    </row>
    <row r="24" spans="1:17">
      <c r="A24" t="s">
        <v>43</v>
      </c>
      <c r="K24" s="386">
        <v>137449</v>
      </c>
      <c r="L24" s="144">
        <v>143454.05339805825</v>
      </c>
      <c r="M24" s="144">
        <v>146790.19417475729</v>
      </c>
      <c r="N24" s="144">
        <v>150793.56310679612</v>
      </c>
      <c r="O24" s="144">
        <v>154796.93203883496</v>
      </c>
      <c r="P24" s="144">
        <v>159467.5291262136</v>
      </c>
      <c r="Q24" s="144">
        <v>164138.12621359222</v>
      </c>
    </row>
    <row r="25" spans="1:17">
      <c r="A25" t="s">
        <v>168</v>
      </c>
      <c r="K25" s="386">
        <v>137449</v>
      </c>
      <c r="L25" s="144">
        <v>141452.36893203884</v>
      </c>
      <c r="M25" s="144">
        <v>144788.50970873787</v>
      </c>
      <c r="N25" s="144">
        <v>146790.19417475729</v>
      </c>
      <c r="O25" s="144">
        <v>149459.10679611648</v>
      </c>
      <c r="P25" s="144">
        <v>152128.01941747571</v>
      </c>
      <c r="Q25" s="144">
        <v>155464.16019417474</v>
      </c>
    </row>
    <row r="26" spans="1:17">
      <c r="K26" s="144"/>
      <c r="L26" s="144"/>
      <c r="M26" s="144"/>
      <c r="N26" s="144"/>
      <c r="O26" s="144"/>
      <c r="P26" s="144"/>
      <c r="Q26" s="144"/>
    </row>
    <row r="27" spans="1:17">
      <c r="A27" t="s">
        <v>175</v>
      </c>
      <c r="L27" s="144"/>
      <c r="M27" s="144"/>
      <c r="N27" s="144"/>
      <c r="O27" s="144"/>
      <c r="P27" s="144"/>
      <c r="Q27" s="144"/>
    </row>
    <row r="28" spans="1:17">
      <c r="A28" t="s">
        <v>167</v>
      </c>
      <c r="K28" s="386">
        <v>131300</v>
      </c>
      <c r="L28" s="144">
        <v>138311.16504854368</v>
      </c>
      <c r="M28" s="144">
        <v>144047.57281553396</v>
      </c>
      <c r="N28" s="144">
        <v>151058.73786407764</v>
      </c>
      <c r="O28" s="144">
        <v>158069.90291262136</v>
      </c>
      <c r="P28" s="144">
        <v>166355.82524271845</v>
      </c>
      <c r="Q28" s="144">
        <v>175279.12621359224</v>
      </c>
    </row>
    <row r="29" spans="1:17">
      <c r="A29" t="s">
        <v>43</v>
      </c>
      <c r="K29" s="386">
        <v>131300</v>
      </c>
      <c r="L29" s="144">
        <v>137036.40776699028</v>
      </c>
      <c r="M29" s="144">
        <v>140223.30097087377</v>
      </c>
      <c r="N29" s="144">
        <v>144047.57281553396</v>
      </c>
      <c r="O29" s="144">
        <v>147871.84466019415</v>
      </c>
      <c r="P29" s="144">
        <v>152333.49514563105</v>
      </c>
      <c r="Q29" s="144">
        <v>156795.14563106792</v>
      </c>
    </row>
    <row r="30" spans="1:17">
      <c r="A30" t="s">
        <v>168</v>
      </c>
      <c r="K30" s="386">
        <v>131300</v>
      </c>
      <c r="L30" s="144">
        <v>135124.27184466019</v>
      </c>
      <c r="M30" s="144">
        <v>138311.16504854368</v>
      </c>
      <c r="N30" s="144">
        <v>140223.3009708738</v>
      </c>
      <c r="O30" s="144">
        <v>142772.81553398058</v>
      </c>
      <c r="P30" s="144">
        <v>145322.33009708737</v>
      </c>
      <c r="Q30" s="144">
        <v>148509.22330097086</v>
      </c>
    </row>
    <row r="31" spans="1:17">
      <c r="L31" s="144"/>
      <c r="M31" s="144"/>
      <c r="N31" s="144"/>
      <c r="O31" s="144"/>
      <c r="P31" s="144"/>
      <c r="Q31" s="144"/>
    </row>
    <row r="32" spans="1:17">
      <c r="A32" t="s">
        <v>176</v>
      </c>
      <c r="L32" s="144"/>
      <c r="M32" s="144"/>
      <c r="N32" s="144"/>
      <c r="O32" s="144"/>
      <c r="P32" s="144"/>
      <c r="Q32" s="144"/>
    </row>
    <row r="33" spans="1:18">
      <c r="A33" t="s">
        <v>167</v>
      </c>
      <c r="K33" s="386">
        <v>125814</v>
      </c>
      <c r="L33" s="144">
        <v>132532.22330097086</v>
      </c>
      <c r="M33" s="144">
        <v>138028.95145631066</v>
      </c>
      <c r="N33" s="144">
        <v>144747.17475728152</v>
      </c>
      <c r="O33" s="144">
        <v>151465.39805825241</v>
      </c>
      <c r="P33" s="144">
        <v>159405.11650485435</v>
      </c>
      <c r="Q33" s="144">
        <v>167955.58252427183</v>
      </c>
    </row>
    <row r="34" spans="1:18">
      <c r="A34" t="s">
        <v>43</v>
      </c>
      <c r="K34" s="386">
        <v>125814</v>
      </c>
      <c r="L34" s="144">
        <v>131310.72815533981</v>
      </c>
      <c r="M34" s="144">
        <v>134364.46601941748</v>
      </c>
      <c r="N34" s="144">
        <v>138028.95145631069</v>
      </c>
      <c r="O34" s="144">
        <v>141693.43689320391</v>
      </c>
      <c r="P34" s="144">
        <v>145968.66990291263</v>
      </c>
      <c r="Q34" s="144">
        <v>150243.90291262136</v>
      </c>
    </row>
    <row r="35" spans="1:18">
      <c r="A35" t="s">
        <v>168</v>
      </c>
      <c r="K35" s="386">
        <v>125814</v>
      </c>
      <c r="L35" s="144">
        <v>129478.4854368932</v>
      </c>
      <c r="M35" s="144">
        <v>132532.22330097089</v>
      </c>
      <c r="N35" s="144">
        <v>134364.46601941751</v>
      </c>
      <c r="O35" s="144">
        <v>136807.45631067964</v>
      </c>
      <c r="P35" s="144">
        <v>139250.44660194177</v>
      </c>
      <c r="Q35" s="144">
        <v>142304.18446601945</v>
      </c>
    </row>
    <row r="39" spans="1:18">
      <c r="B39" s="10">
        <v>2001</v>
      </c>
      <c r="C39" s="10" t="s">
        <v>28</v>
      </c>
      <c r="D39" s="10" t="s">
        <v>27</v>
      </c>
      <c r="E39" s="10" t="s">
        <v>26</v>
      </c>
      <c r="F39" s="10" t="s">
        <v>25</v>
      </c>
      <c r="G39" s="10" t="s">
        <v>24</v>
      </c>
      <c r="H39" s="10" t="s">
        <v>23</v>
      </c>
      <c r="I39" s="10" t="s">
        <v>22</v>
      </c>
      <c r="J39" s="10" t="s">
        <v>21</v>
      </c>
      <c r="K39" s="10" t="s">
        <v>20</v>
      </c>
    </row>
    <row r="40" spans="1:18">
      <c r="A40" t="s">
        <v>171</v>
      </c>
      <c r="B40" s="389">
        <v>223367</v>
      </c>
      <c r="C40" s="389">
        <v>216549</v>
      </c>
      <c r="D40" s="389">
        <v>228066</v>
      </c>
      <c r="E40" s="389">
        <v>226067</v>
      </c>
      <c r="F40" s="389">
        <v>241582</v>
      </c>
      <c r="G40" s="389">
        <v>251232</v>
      </c>
      <c r="H40" s="389">
        <v>267828</v>
      </c>
      <c r="I40" s="389">
        <v>268020</v>
      </c>
      <c r="J40" s="389">
        <v>222718</v>
      </c>
      <c r="K40" s="389">
        <v>195489</v>
      </c>
    </row>
    <row r="43" spans="1:18">
      <c r="Q43" s="144">
        <v>1000</v>
      </c>
    </row>
    <row r="44" spans="1:18">
      <c r="B44" s="238"/>
    </row>
    <row r="46" spans="1:18">
      <c r="A46" t="s">
        <v>43</v>
      </c>
      <c r="G46" s="10">
        <v>2006</v>
      </c>
      <c r="H46" s="10">
        <v>2007</v>
      </c>
      <c r="I46" s="10">
        <v>2008</v>
      </c>
      <c r="J46" s="10">
        <v>2009</v>
      </c>
      <c r="K46" s="10">
        <v>2010</v>
      </c>
      <c r="L46" s="10">
        <v>2011</v>
      </c>
      <c r="M46" s="10">
        <v>2012</v>
      </c>
      <c r="N46" s="10">
        <v>2013</v>
      </c>
      <c r="O46" s="10">
        <v>2014</v>
      </c>
      <c r="P46" s="10">
        <v>2015</v>
      </c>
      <c r="Q46" s="10">
        <v>2016</v>
      </c>
      <c r="R46" s="10"/>
    </row>
    <row r="47" spans="1:18">
      <c r="A47" t="s">
        <v>172</v>
      </c>
      <c r="G47" s="222">
        <v>247</v>
      </c>
      <c r="H47" s="222">
        <v>266</v>
      </c>
      <c r="I47" s="222">
        <v>269</v>
      </c>
      <c r="J47" s="222">
        <v>226</v>
      </c>
      <c r="K47" s="222">
        <v>206</v>
      </c>
      <c r="L47">
        <v>215</v>
      </c>
      <c r="M47">
        <v>220</v>
      </c>
      <c r="N47">
        <v>226</v>
      </c>
      <c r="O47">
        <v>232</v>
      </c>
      <c r="P47">
        <v>239</v>
      </c>
      <c r="Q47">
        <v>246</v>
      </c>
    </row>
    <row r="48" spans="1:18">
      <c r="A48" t="s">
        <v>173</v>
      </c>
      <c r="G48" s="386">
        <v>247000</v>
      </c>
      <c r="H48" s="386">
        <v>266000</v>
      </c>
      <c r="I48" s="386">
        <v>269000</v>
      </c>
      <c r="J48" s="386">
        <v>226000</v>
      </c>
      <c r="K48" s="386">
        <v>206000</v>
      </c>
      <c r="L48" s="144">
        <v>215000</v>
      </c>
      <c r="M48" s="144">
        <v>220000</v>
      </c>
      <c r="N48" s="144">
        <v>226000</v>
      </c>
      <c r="O48" s="144">
        <v>232000</v>
      </c>
      <c r="P48" s="144">
        <v>239000</v>
      </c>
      <c r="Q48" s="144">
        <v>246000</v>
      </c>
      <c r="R48" s="144"/>
    </row>
    <row r="49" spans="1:18">
      <c r="A49" t="s">
        <v>177</v>
      </c>
      <c r="G49" s="386">
        <v>247000</v>
      </c>
      <c r="H49" s="386">
        <v>266000</v>
      </c>
      <c r="I49" s="386">
        <v>269000</v>
      </c>
      <c r="J49" s="386">
        <v>226000</v>
      </c>
      <c r="K49" s="386">
        <v>206000</v>
      </c>
      <c r="L49" s="144">
        <v>217000</v>
      </c>
      <c r="M49" s="144">
        <v>226000</v>
      </c>
      <c r="N49" s="144">
        <v>237000</v>
      </c>
      <c r="O49" s="144">
        <v>248000</v>
      </c>
      <c r="P49" s="144">
        <v>261000</v>
      </c>
      <c r="Q49" s="144">
        <v>275000</v>
      </c>
      <c r="R49" s="144"/>
    </row>
    <row r="50" spans="1:18">
      <c r="A50" t="s">
        <v>178</v>
      </c>
      <c r="G50" s="386">
        <v>247000</v>
      </c>
      <c r="H50" s="386">
        <v>266000</v>
      </c>
      <c r="I50" s="386">
        <v>269000</v>
      </c>
      <c r="J50" s="386">
        <v>226000</v>
      </c>
      <c r="K50" s="386">
        <v>206000</v>
      </c>
      <c r="L50" s="144">
        <v>212000</v>
      </c>
      <c r="M50" s="144">
        <v>217000</v>
      </c>
      <c r="N50" s="144">
        <v>220000</v>
      </c>
      <c r="O50" s="144">
        <v>224000</v>
      </c>
      <c r="P50" s="144">
        <v>228000</v>
      </c>
      <c r="Q50" s="144">
        <v>233000</v>
      </c>
      <c r="R50" s="144"/>
    </row>
  </sheetData>
  <pageMargins left="0.70866141732283472" right="0.70866141732283472" top="0.74803149606299213" bottom="0.74803149606299213" header="0.31496062992125984" footer="0.31496062992125984"/>
  <pageSetup paperSize="9" scale="52" fitToHeight="2" orientation="landscape" horizontalDpi="300" verticalDpi="300" r:id="rId1"/>
  <ignoredErrors>
    <ignoredError sqref="C39 D39:K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52" workbookViewId="0">
      <selection activeCell="M24" sqref="M24"/>
    </sheetView>
  </sheetViews>
  <sheetFormatPr defaultRowHeight="12.75"/>
  <cols>
    <col min="2" max="2" width="38.75" customWidth="1"/>
    <col min="7" max="7" width="9.25" bestFit="1" customWidth="1"/>
  </cols>
  <sheetData>
    <row r="1" spans="1:10" ht="1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26.25">
      <c r="A2" s="11"/>
      <c r="B2" s="101" t="s">
        <v>94</v>
      </c>
      <c r="C2" s="113"/>
      <c r="D2" s="113"/>
      <c r="E2" s="113"/>
      <c r="F2" s="113"/>
      <c r="G2" s="113"/>
      <c r="H2" s="113"/>
      <c r="I2" s="113"/>
      <c r="J2" s="113"/>
    </row>
    <row r="3" spans="1:10" ht="15">
      <c r="A3" s="11"/>
      <c r="B3" s="11"/>
      <c r="C3" s="11"/>
      <c r="D3" s="11"/>
      <c r="E3" s="11"/>
      <c r="F3" s="11"/>
      <c r="G3" s="11" t="s">
        <v>18</v>
      </c>
      <c r="H3" s="11" t="s">
        <v>18</v>
      </c>
      <c r="I3" s="11" t="s">
        <v>18</v>
      </c>
      <c r="J3" s="11" t="s">
        <v>18</v>
      </c>
    </row>
    <row r="4" spans="1:10" ht="15">
      <c r="A4" s="11"/>
      <c r="B4" s="105"/>
      <c r="C4" s="105"/>
      <c r="D4" s="105">
        <v>2009</v>
      </c>
      <c r="E4" s="105">
        <v>2010</v>
      </c>
      <c r="F4" s="105">
        <v>2011</v>
      </c>
      <c r="G4" s="284">
        <v>2012</v>
      </c>
      <c r="H4" s="284">
        <v>2013</v>
      </c>
      <c r="I4" s="284">
        <v>2014</v>
      </c>
      <c r="J4" s="284">
        <v>2015</v>
      </c>
    </row>
    <row r="5" spans="1:10" ht="15">
      <c r="A5" s="11"/>
      <c r="B5" s="105" t="s">
        <v>142</v>
      </c>
      <c r="C5" s="11"/>
      <c r="D5" s="11"/>
      <c r="E5" s="11"/>
      <c r="F5" s="11"/>
      <c r="G5" s="11"/>
      <c r="H5" s="11"/>
      <c r="I5" s="11"/>
      <c r="J5" s="11"/>
    </row>
    <row r="6" spans="1:10" ht="15">
      <c r="A6" s="11"/>
      <c r="B6" s="14" t="s">
        <v>96</v>
      </c>
      <c r="C6" s="11"/>
      <c r="D6" s="11"/>
      <c r="E6" s="117">
        <f>CPI!E14</f>
        <v>1.0049407114624507</v>
      </c>
      <c r="F6" s="117">
        <f>CPI!E15</f>
        <v>0.99499080342816892</v>
      </c>
      <c r="G6" s="117">
        <f>CPI!E16</f>
        <v>0.98028650584056065</v>
      </c>
      <c r="H6" s="117">
        <f>CPI!E17</f>
        <v>0.96106520180447119</v>
      </c>
      <c r="I6" s="117">
        <f>CPI!E18</f>
        <v>0.9422207860828149</v>
      </c>
      <c r="J6" s="117">
        <f>CPI!E19</f>
        <v>0.92374586870864217</v>
      </c>
    </row>
    <row r="7" spans="1:10" ht="15">
      <c r="A7" s="11"/>
      <c r="B7" s="105"/>
      <c r="C7" s="11"/>
      <c r="D7" s="11"/>
      <c r="E7" s="11"/>
      <c r="F7" s="11"/>
      <c r="G7" s="11"/>
      <c r="H7" s="11"/>
      <c r="I7" s="11"/>
      <c r="J7" s="11"/>
    </row>
    <row r="8" spans="1:10" ht="15">
      <c r="A8" s="11"/>
      <c r="B8" s="105" t="s">
        <v>97</v>
      </c>
      <c r="C8" s="11"/>
      <c r="D8" s="11"/>
      <c r="E8" s="11"/>
      <c r="F8" s="11"/>
      <c r="G8" s="11"/>
      <c r="H8" s="11"/>
      <c r="I8" s="11"/>
      <c r="J8" s="11"/>
    </row>
    <row r="9" spans="1:10" ht="15">
      <c r="A9" s="11"/>
      <c r="B9" s="105" t="s">
        <v>50</v>
      </c>
      <c r="C9" s="11"/>
      <c r="D9" s="11"/>
      <c r="E9" s="11"/>
      <c r="F9" s="11"/>
      <c r="G9" s="11"/>
      <c r="H9" s="11"/>
      <c r="I9" s="11"/>
      <c r="J9" s="11"/>
    </row>
    <row r="10" spans="1:10" ht="15">
      <c r="A10" s="11" t="s">
        <v>51</v>
      </c>
      <c r="B10" s="114" t="s">
        <v>52</v>
      </c>
      <c r="C10" s="114" t="s">
        <v>232</v>
      </c>
      <c r="D10" s="11"/>
      <c r="E10" s="181">
        <f>'IAA submission'!F15</f>
        <v>7034</v>
      </c>
      <c r="F10" s="181">
        <f>'IAA submission'!G15</f>
        <v>7784</v>
      </c>
      <c r="G10" s="181">
        <f>'IAA submission'!C42</f>
        <v>7568</v>
      </c>
      <c r="H10" s="181">
        <f>'IAA submission'!D42</f>
        <v>7833</v>
      </c>
      <c r="I10" s="181">
        <f>'IAA submission'!E42</f>
        <v>8065</v>
      </c>
      <c r="J10" s="181">
        <f>'IAA submission'!F42</f>
        <v>8427</v>
      </c>
    </row>
    <row r="11" spans="1:10" ht="15">
      <c r="A11" s="11" t="s">
        <v>53</v>
      </c>
      <c r="B11" s="114" t="s">
        <v>54</v>
      </c>
      <c r="C11" s="114" t="s">
        <v>232</v>
      </c>
      <c r="D11" s="11"/>
      <c r="E11" s="181">
        <f>'IAA submission'!F16</f>
        <v>3005</v>
      </c>
      <c r="F11" s="181">
        <f>'IAA submission'!G16</f>
        <v>2764</v>
      </c>
      <c r="G11" s="181">
        <f>'IAA submission'!C43</f>
        <v>2654</v>
      </c>
      <c r="H11" s="181">
        <f>'IAA submission'!D43</f>
        <v>2747</v>
      </c>
      <c r="I11" s="181">
        <f>'IAA submission'!E43</f>
        <v>2828</v>
      </c>
      <c r="J11" s="181">
        <f>'IAA submission'!F43</f>
        <v>2955</v>
      </c>
    </row>
    <row r="12" spans="1:10" ht="15">
      <c r="A12" s="11"/>
      <c r="B12" s="115" t="s">
        <v>56</v>
      </c>
      <c r="C12" s="114" t="s">
        <v>232</v>
      </c>
      <c r="D12" s="11"/>
      <c r="E12" s="181">
        <f t="shared" ref="E12:J12" si="0">E11+E10</f>
        <v>10039</v>
      </c>
      <c r="F12" s="181">
        <f t="shared" si="0"/>
        <v>10548</v>
      </c>
      <c r="G12" s="181">
        <f t="shared" si="0"/>
        <v>10222</v>
      </c>
      <c r="H12" s="181">
        <f t="shared" si="0"/>
        <v>10580</v>
      </c>
      <c r="I12" s="181">
        <f t="shared" si="0"/>
        <v>10893</v>
      </c>
      <c r="J12" s="181">
        <f t="shared" si="0"/>
        <v>11382</v>
      </c>
    </row>
    <row r="13" spans="1:10" ht="15">
      <c r="A13" s="11" t="s">
        <v>55</v>
      </c>
      <c r="B13" s="115" t="s">
        <v>57</v>
      </c>
      <c r="C13" s="114"/>
      <c r="D13" s="11"/>
      <c r="E13" s="180"/>
      <c r="F13" s="180"/>
      <c r="G13" s="181"/>
      <c r="H13" s="181"/>
      <c r="I13" s="181"/>
      <c r="J13" s="181"/>
    </row>
    <row r="14" spans="1:10" ht="15">
      <c r="A14" s="11" t="s">
        <v>58</v>
      </c>
      <c r="B14" s="114" t="s">
        <v>10</v>
      </c>
      <c r="C14" s="114" t="s">
        <v>232</v>
      </c>
      <c r="D14" s="11"/>
      <c r="E14" s="181">
        <f>'IAA submission'!F19</f>
        <v>947</v>
      </c>
      <c r="F14" s="181">
        <f>'IAA submission'!G19</f>
        <v>1191</v>
      </c>
      <c r="G14" s="181">
        <f>'IAA submission'!C46</f>
        <v>1464</v>
      </c>
      <c r="H14" s="181">
        <f>'IAA submission'!D46</f>
        <v>1356</v>
      </c>
      <c r="I14" s="181">
        <f>'IAA submission'!E46</f>
        <v>1334</v>
      </c>
      <c r="J14" s="181">
        <f>'IAA submission'!F46</f>
        <v>1371</v>
      </c>
    </row>
    <row r="15" spans="1:10" ht="15">
      <c r="A15" s="11" t="s">
        <v>59</v>
      </c>
      <c r="B15" s="114" t="s">
        <v>60</v>
      </c>
      <c r="C15" s="114" t="s">
        <v>232</v>
      </c>
      <c r="D15" s="11"/>
      <c r="E15" s="181">
        <f>'IAA submission'!F20</f>
        <v>220</v>
      </c>
      <c r="F15" s="181">
        <f>'IAA submission'!G20</f>
        <v>202</v>
      </c>
      <c r="G15" s="181">
        <f>'IAA submission'!C47</f>
        <v>205</v>
      </c>
      <c r="H15" s="181">
        <f>'IAA submission'!D47</f>
        <v>209</v>
      </c>
      <c r="I15" s="181">
        <f>'IAA submission'!E47</f>
        <v>213</v>
      </c>
      <c r="J15" s="181">
        <f>'IAA submission'!F47</f>
        <v>217</v>
      </c>
    </row>
    <row r="16" spans="1:10" ht="15">
      <c r="A16" s="11" t="s">
        <v>61</v>
      </c>
      <c r="B16" s="114" t="s">
        <v>16</v>
      </c>
      <c r="C16" s="114" t="s">
        <v>232</v>
      </c>
      <c r="D16" s="11"/>
      <c r="E16" s="181">
        <f>'IAA submission'!F21</f>
        <v>3906</v>
      </c>
      <c r="F16" s="181">
        <f>'IAA submission'!G21</f>
        <v>2076</v>
      </c>
      <c r="G16" s="181">
        <f>'IAA submission'!C48</f>
        <v>2108</v>
      </c>
      <c r="H16" s="181">
        <f>'IAA submission'!D48</f>
        <v>2151</v>
      </c>
      <c r="I16" s="181">
        <f>'IAA submission'!E48</f>
        <v>2196</v>
      </c>
      <c r="J16" s="181">
        <f>'IAA submission'!F48</f>
        <v>2240</v>
      </c>
    </row>
    <row r="17" spans="1:10" ht="15">
      <c r="A17" s="11" t="s">
        <v>62</v>
      </c>
      <c r="B17" s="114" t="s">
        <v>15</v>
      </c>
      <c r="C17" s="114" t="s">
        <v>232</v>
      </c>
      <c r="D17" s="11"/>
      <c r="E17" s="181">
        <f>'IAA submission'!F22</f>
        <v>0</v>
      </c>
      <c r="F17" s="181">
        <f>'IAA submission'!G22</f>
        <v>0</v>
      </c>
      <c r="G17" s="181">
        <f>'IAA submission'!C49</f>
        <v>0</v>
      </c>
      <c r="H17" s="181">
        <f>'IAA submission'!D49</f>
        <v>0</v>
      </c>
      <c r="I17" s="181">
        <f>'IAA submission'!E49</f>
        <v>0</v>
      </c>
      <c r="J17" s="181">
        <f>'IAA submission'!F49</f>
        <v>0</v>
      </c>
    </row>
    <row r="18" spans="1:10" ht="15">
      <c r="A18" s="11" t="s">
        <v>63</v>
      </c>
      <c r="B18" s="114" t="s">
        <v>14</v>
      </c>
      <c r="C18" s="114" t="s">
        <v>232</v>
      </c>
      <c r="D18" s="11"/>
      <c r="E18" s="181">
        <f>'IAA submission'!F23</f>
        <v>855</v>
      </c>
      <c r="F18" s="181">
        <f>'IAA submission'!G23</f>
        <v>858</v>
      </c>
      <c r="G18" s="181">
        <f>'IAA submission'!C50</f>
        <v>871</v>
      </c>
      <c r="H18" s="181">
        <f>'IAA submission'!D50</f>
        <v>889</v>
      </c>
      <c r="I18" s="181">
        <f>'IAA submission'!E50</f>
        <v>906</v>
      </c>
      <c r="J18" s="181">
        <f>'IAA submission'!F50</f>
        <v>925</v>
      </c>
    </row>
    <row r="19" spans="1:10" ht="15">
      <c r="A19" s="11" t="s">
        <v>64</v>
      </c>
      <c r="B19" s="114" t="s">
        <v>13</v>
      </c>
      <c r="C19" s="114" t="s">
        <v>232</v>
      </c>
      <c r="D19" s="11"/>
      <c r="E19" s="181">
        <f>'IAA submission'!F24</f>
        <v>253</v>
      </c>
      <c r="F19" s="181">
        <f>'IAA submission'!G24</f>
        <v>269</v>
      </c>
      <c r="G19" s="181">
        <f>'IAA submission'!C51</f>
        <v>273</v>
      </c>
      <c r="H19" s="181">
        <f>'IAA submission'!D51</f>
        <v>278</v>
      </c>
      <c r="I19" s="181">
        <f>'IAA submission'!E51</f>
        <v>284</v>
      </c>
      <c r="J19" s="181">
        <f>'IAA submission'!F51</f>
        <v>289</v>
      </c>
    </row>
    <row r="20" spans="1:10" ht="15">
      <c r="A20" s="11" t="s">
        <v>65</v>
      </c>
      <c r="B20" s="114" t="s">
        <v>12</v>
      </c>
      <c r="C20" s="114" t="s">
        <v>232</v>
      </c>
      <c r="D20" s="11"/>
      <c r="E20" s="181">
        <f>'IAA submission'!F25</f>
        <v>65</v>
      </c>
      <c r="F20" s="181">
        <f>'IAA submission'!G25</f>
        <v>70</v>
      </c>
      <c r="G20" s="181">
        <f>'IAA submission'!C52</f>
        <v>71</v>
      </c>
      <c r="H20" s="181">
        <f>'IAA submission'!D52</f>
        <v>73</v>
      </c>
      <c r="I20" s="181">
        <f>'IAA submission'!E52</f>
        <v>74</v>
      </c>
      <c r="J20" s="181">
        <f>'IAA submission'!F52</f>
        <v>76</v>
      </c>
    </row>
    <row r="21" spans="1:10" ht="15">
      <c r="A21" s="11" t="s">
        <v>66</v>
      </c>
      <c r="B21" s="68" t="s">
        <v>67</v>
      </c>
      <c r="C21" s="114" t="s">
        <v>232</v>
      </c>
      <c r="D21" s="11"/>
      <c r="E21" s="181">
        <f>'IAA submission'!F26</f>
        <v>1616</v>
      </c>
      <c r="F21" s="181">
        <f>'IAA submission'!G26</f>
        <v>1640</v>
      </c>
      <c r="G21" s="181">
        <f>'IAA submission'!C53</f>
        <v>1700</v>
      </c>
      <c r="H21" s="181">
        <f>'IAA submission'!D53</f>
        <v>1680</v>
      </c>
      <c r="I21" s="181">
        <f>'IAA submission'!E53</f>
        <v>1700</v>
      </c>
      <c r="J21" s="181">
        <f>'IAA submission'!F53</f>
        <v>1620</v>
      </c>
    </row>
    <row r="22" spans="1:10" ht="15">
      <c r="A22" s="11" t="s">
        <v>68</v>
      </c>
      <c r="B22" s="68" t="s">
        <v>9</v>
      </c>
      <c r="C22" s="114" t="s">
        <v>232</v>
      </c>
      <c r="D22" s="11"/>
      <c r="E22" s="181">
        <f>'IAA submission'!F27</f>
        <v>58</v>
      </c>
      <c r="F22" s="181">
        <f>'IAA submission'!G27</f>
        <v>107</v>
      </c>
      <c r="G22" s="181">
        <f>'IAA submission'!C54</f>
        <v>0</v>
      </c>
      <c r="H22" s="181">
        <f>'IAA submission'!D54</f>
        <v>0</v>
      </c>
      <c r="I22" s="181">
        <f>'IAA submission'!E54</f>
        <v>0</v>
      </c>
      <c r="J22" s="181">
        <f>'IAA submission'!F54</f>
        <v>0</v>
      </c>
    </row>
    <row r="23" spans="1:10" ht="15">
      <c r="A23" s="11" t="s">
        <v>70</v>
      </c>
      <c r="B23" s="105" t="s">
        <v>71</v>
      </c>
      <c r="C23" s="11"/>
      <c r="D23" s="11"/>
      <c r="E23" s="181">
        <f t="shared" ref="E23:J23" si="1">SUM(E14:E22)</f>
        <v>7920</v>
      </c>
      <c r="F23" s="181">
        <f t="shared" si="1"/>
        <v>6413</v>
      </c>
      <c r="G23" s="181">
        <f t="shared" si="1"/>
        <v>6692</v>
      </c>
      <c r="H23" s="181">
        <f t="shared" si="1"/>
        <v>6636</v>
      </c>
      <c r="I23" s="181">
        <f t="shared" si="1"/>
        <v>6707</v>
      </c>
      <c r="J23" s="181">
        <f t="shared" si="1"/>
        <v>6738</v>
      </c>
    </row>
    <row r="24" spans="1:10" ht="15">
      <c r="A24" s="11"/>
      <c r="B24" s="116"/>
      <c r="C24" s="11"/>
      <c r="D24" s="11"/>
      <c r="E24" s="180"/>
      <c r="F24" s="180"/>
      <c r="G24" s="180"/>
      <c r="H24" s="180"/>
      <c r="I24" s="180"/>
      <c r="J24" s="180"/>
    </row>
    <row r="25" spans="1:10" ht="15">
      <c r="A25" s="11"/>
      <c r="B25" s="105" t="s">
        <v>162</v>
      </c>
      <c r="C25" s="114" t="s">
        <v>232</v>
      </c>
      <c r="D25" s="11"/>
      <c r="E25" s="181">
        <f t="shared" ref="E25:J25" si="2">E23+E12</f>
        <v>17959</v>
      </c>
      <c r="F25" s="181">
        <f t="shared" si="2"/>
        <v>16961</v>
      </c>
      <c r="G25" s="181">
        <f t="shared" si="2"/>
        <v>16914</v>
      </c>
      <c r="H25" s="181">
        <f t="shared" si="2"/>
        <v>17216</v>
      </c>
      <c r="I25" s="181">
        <f t="shared" si="2"/>
        <v>17600</v>
      </c>
      <c r="J25" s="181">
        <f t="shared" si="2"/>
        <v>18120</v>
      </c>
    </row>
    <row r="26" spans="1:10" ht="15">
      <c r="A26" s="11"/>
      <c r="B26" s="105"/>
      <c r="C26" s="11"/>
      <c r="D26" s="11"/>
      <c r="E26" s="11"/>
      <c r="F26" s="11"/>
      <c r="G26" s="11"/>
      <c r="H26" s="11"/>
      <c r="I26" s="11"/>
      <c r="J26" s="11"/>
    </row>
    <row r="27" spans="1:10" ht="15">
      <c r="A27" s="11"/>
      <c r="B27" s="105"/>
      <c r="C27" s="11"/>
      <c r="D27" s="11"/>
      <c r="E27" s="11" t="s">
        <v>19</v>
      </c>
      <c r="F27" s="11" t="s">
        <v>18</v>
      </c>
      <c r="G27" s="11" t="s">
        <v>18</v>
      </c>
      <c r="H27" s="11" t="s">
        <v>18</v>
      </c>
      <c r="I27" s="11" t="s">
        <v>18</v>
      </c>
      <c r="J27" s="11" t="s">
        <v>18</v>
      </c>
    </row>
    <row r="28" spans="1:10" ht="15">
      <c r="A28" s="11"/>
      <c r="B28" s="105" t="s">
        <v>116</v>
      </c>
      <c r="C28" s="11"/>
      <c r="D28" s="11"/>
      <c r="E28" s="105">
        <v>2010</v>
      </c>
      <c r="F28" s="105">
        <f>E28+1</f>
        <v>2011</v>
      </c>
      <c r="G28" s="284">
        <f>F28+1</f>
        <v>2012</v>
      </c>
      <c r="H28" s="284">
        <f>G28+1</f>
        <v>2013</v>
      </c>
      <c r="I28" s="284">
        <f>H28+1</f>
        <v>2014</v>
      </c>
      <c r="J28" s="284">
        <f>I28+1</f>
        <v>2015</v>
      </c>
    </row>
    <row r="29" spans="1:10" ht="15">
      <c r="A29" s="11"/>
      <c r="B29" s="105" t="s">
        <v>50</v>
      </c>
      <c r="C29" s="11"/>
      <c r="D29" s="11"/>
      <c r="E29" s="111"/>
      <c r="F29" s="111"/>
      <c r="G29" s="111"/>
      <c r="H29" s="111"/>
      <c r="I29" s="111"/>
      <c r="J29" s="111"/>
    </row>
    <row r="30" spans="1:10" ht="15">
      <c r="A30" s="11" t="s">
        <v>51</v>
      </c>
      <c r="B30" s="114" t="s">
        <v>206</v>
      </c>
      <c r="C30" s="114" t="s">
        <v>232</v>
      </c>
      <c r="D30" s="11"/>
      <c r="E30" s="111">
        <f t="shared" ref="E30:J32" si="3">E10*E$6</f>
        <v>7068.752964426878</v>
      </c>
      <c r="F30" s="111">
        <f t="shared" si="3"/>
        <v>7745.008413884867</v>
      </c>
      <c r="G30" s="111">
        <f t="shared" si="3"/>
        <v>7418.8082762013628</v>
      </c>
      <c r="H30" s="111">
        <f t="shared" si="3"/>
        <v>7528.0237257344224</v>
      </c>
      <c r="I30" s="111">
        <f t="shared" si="3"/>
        <v>7599.010639757902</v>
      </c>
      <c r="J30" s="111">
        <f t="shared" si="3"/>
        <v>7784.4064356077279</v>
      </c>
    </row>
    <row r="31" spans="1:10" ht="15">
      <c r="A31" s="11" t="s">
        <v>53</v>
      </c>
      <c r="B31" s="114" t="s">
        <v>207</v>
      </c>
      <c r="C31" s="114" t="s">
        <v>232</v>
      </c>
      <c r="D31" s="11"/>
      <c r="E31" s="111">
        <f t="shared" si="3"/>
        <v>3019.8468379446645</v>
      </c>
      <c r="F31" s="111">
        <f t="shared" si="3"/>
        <v>2750.1545806754589</v>
      </c>
      <c r="G31" s="111">
        <f t="shared" si="3"/>
        <v>2601.6803865008478</v>
      </c>
      <c r="H31" s="111">
        <f t="shared" si="3"/>
        <v>2640.0461093568824</v>
      </c>
      <c r="I31" s="111">
        <f t="shared" si="3"/>
        <v>2664.6003830422005</v>
      </c>
      <c r="J31" s="111">
        <f t="shared" si="3"/>
        <v>2729.6690420340378</v>
      </c>
    </row>
    <row r="32" spans="1:10" ht="15">
      <c r="A32" s="11"/>
      <c r="B32" s="318" t="s">
        <v>56</v>
      </c>
      <c r="C32" s="363" t="s">
        <v>232</v>
      </c>
      <c r="D32" s="319"/>
      <c r="E32" s="320">
        <f t="shared" si="3"/>
        <v>10088.599802371542</v>
      </c>
      <c r="F32" s="320">
        <f t="shared" si="3"/>
        <v>10495.162994560325</v>
      </c>
      <c r="G32" s="320">
        <f>G31+G30</f>
        <v>10020.48866270221</v>
      </c>
      <c r="H32" s="320">
        <f>H31+H30</f>
        <v>10168.069835091304</v>
      </c>
      <c r="I32" s="320">
        <f>I31+I30</f>
        <v>10263.611022800102</v>
      </c>
      <c r="J32" s="320">
        <f>J31+J30</f>
        <v>10514.075477641765</v>
      </c>
    </row>
    <row r="33" spans="1:10" ht="15">
      <c r="A33" s="11" t="s">
        <v>55</v>
      </c>
      <c r="B33" s="115" t="s">
        <v>57</v>
      </c>
      <c r="C33" s="114"/>
      <c r="D33" s="11"/>
      <c r="E33" s="111"/>
      <c r="F33" s="111"/>
      <c r="G33" s="111"/>
      <c r="H33" s="111"/>
      <c r="I33" s="111"/>
      <c r="J33" s="111"/>
    </row>
    <row r="34" spans="1:10" ht="15">
      <c r="A34" s="11" t="s">
        <v>58</v>
      </c>
      <c r="B34" s="114" t="s">
        <v>44</v>
      </c>
      <c r="C34" s="114" t="s">
        <v>232</v>
      </c>
      <c r="D34" s="11"/>
      <c r="E34" s="111">
        <f t="shared" ref="E34:J34" si="4">E14*E$6</f>
        <v>951.67885375494075</v>
      </c>
      <c r="F34" s="111">
        <f t="shared" si="4"/>
        <v>1185.0340468829493</v>
      </c>
      <c r="G34" s="111">
        <f t="shared" si="4"/>
        <v>1435.1394445505807</v>
      </c>
      <c r="H34" s="111">
        <f t="shared" si="4"/>
        <v>1303.204413646863</v>
      </c>
      <c r="I34" s="111">
        <f t="shared" si="4"/>
        <v>1256.9225286344752</v>
      </c>
      <c r="J34" s="111">
        <f t="shared" si="4"/>
        <v>1266.4555859995485</v>
      </c>
    </row>
    <row r="35" spans="1:10" ht="15">
      <c r="A35" s="11" t="s">
        <v>59</v>
      </c>
      <c r="B35" s="114" t="s">
        <v>60</v>
      </c>
      <c r="C35" s="114" t="s">
        <v>232</v>
      </c>
      <c r="D35" s="11"/>
      <c r="E35" s="111">
        <f t="shared" ref="E35:J42" si="5">E15*E$6</f>
        <v>221.08695652173915</v>
      </c>
      <c r="F35" s="111">
        <f t="shared" si="5"/>
        <v>200.98814229249012</v>
      </c>
      <c r="G35" s="111">
        <f t="shared" si="5"/>
        <v>200.95873369731493</v>
      </c>
      <c r="H35" s="111">
        <f t="shared" si="5"/>
        <v>200.86262717713447</v>
      </c>
      <c r="I35" s="111">
        <f t="shared" si="5"/>
        <v>200.69302743563958</v>
      </c>
      <c r="J35" s="111">
        <f t="shared" si="5"/>
        <v>200.45285350977534</v>
      </c>
    </row>
    <row r="36" spans="1:10" ht="15">
      <c r="A36" s="11" t="s">
        <v>61</v>
      </c>
      <c r="B36" s="114" t="s">
        <v>16</v>
      </c>
      <c r="C36" s="114" t="s">
        <v>232</v>
      </c>
      <c r="D36" s="11"/>
      <c r="E36" s="111">
        <f t="shared" si="5"/>
        <v>3925.2984189723325</v>
      </c>
      <c r="F36" s="111">
        <f t="shared" si="5"/>
        <v>2065.6009079168789</v>
      </c>
      <c r="G36" s="111">
        <f t="shared" si="5"/>
        <v>2066.443954311902</v>
      </c>
      <c r="H36" s="111">
        <f t="shared" si="5"/>
        <v>2067.2512490814174</v>
      </c>
      <c r="I36" s="111">
        <f t="shared" si="5"/>
        <v>2069.1168462378614</v>
      </c>
      <c r="J36" s="111">
        <f t="shared" si="5"/>
        <v>2069.1907459073586</v>
      </c>
    </row>
    <row r="37" spans="1:10" ht="15">
      <c r="A37" s="11" t="s">
        <v>62</v>
      </c>
      <c r="B37" s="114" t="s">
        <v>15</v>
      </c>
      <c r="C37" s="114" t="s">
        <v>232</v>
      </c>
      <c r="D37" s="11"/>
      <c r="E37" s="111">
        <f t="shared" si="5"/>
        <v>0</v>
      </c>
      <c r="F37" s="111">
        <f t="shared" si="5"/>
        <v>0</v>
      </c>
      <c r="G37" s="111">
        <f t="shared" si="5"/>
        <v>0</v>
      </c>
      <c r="H37" s="111">
        <f t="shared" si="5"/>
        <v>0</v>
      </c>
      <c r="I37" s="111">
        <f t="shared" si="5"/>
        <v>0</v>
      </c>
      <c r="J37" s="111">
        <f t="shared" si="5"/>
        <v>0</v>
      </c>
    </row>
    <row r="38" spans="1:10" ht="15">
      <c r="A38" s="11" t="s">
        <v>63</v>
      </c>
      <c r="B38" s="114" t="s">
        <v>14</v>
      </c>
      <c r="C38" s="114" t="s">
        <v>232</v>
      </c>
      <c r="D38" s="11"/>
      <c r="E38" s="111">
        <f t="shared" si="5"/>
        <v>859.22430830039536</v>
      </c>
      <c r="F38" s="111">
        <f t="shared" si="5"/>
        <v>853.7021093413689</v>
      </c>
      <c r="G38" s="111">
        <f t="shared" si="5"/>
        <v>853.82954658712833</v>
      </c>
      <c r="H38" s="111">
        <f t="shared" si="5"/>
        <v>854.38696440417493</v>
      </c>
      <c r="I38" s="111">
        <f t="shared" si="5"/>
        <v>853.65203219103034</v>
      </c>
      <c r="J38" s="111">
        <f t="shared" si="5"/>
        <v>854.464928555494</v>
      </c>
    </row>
    <row r="39" spans="1:10" ht="15">
      <c r="A39" s="11" t="s">
        <v>64</v>
      </c>
      <c r="B39" s="114" t="s">
        <v>13</v>
      </c>
      <c r="C39" s="114" t="s">
        <v>232</v>
      </c>
      <c r="D39" s="11"/>
      <c r="E39" s="111">
        <f t="shared" si="5"/>
        <v>254.25000000000003</v>
      </c>
      <c r="F39" s="111">
        <f t="shared" si="5"/>
        <v>267.65252612217745</v>
      </c>
      <c r="G39" s="111">
        <f t="shared" si="5"/>
        <v>267.61821609447304</v>
      </c>
      <c r="H39" s="111">
        <f t="shared" si="5"/>
        <v>267.17612610164298</v>
      </c>
      <c r="I39" s="111">
        <f t="shared" si="5"/>
        <v>267.59070324751946</v>
      </c>
      <c r="J39" s="111">
        <f t="shared" si="5"/>
        <v>266.96255605679761</v>
      </c>
    </row>
    <row r="40" spans="1:10" ht="15">
      <c r="A40" s="11" t="s">
        <v>65</v>
      </c>
      <c r="B40" s="114" t="s">
        <v>12</v>
      </c>
      <c r="C40" s="114" t="s">
        <v>232</v>
      </c>
      <c r="D40" s="11"/>
      <c r="E40" s="111">
        <f t="shared" si="5"/>
        <v>65.321146245059296</v>
      </c>
      <c r="F40" s="111">
        <f t="shared" si="5"/>
        <v>69.649356239971823</v>
      </c>
      <c r="G40" s="111">
        <f t="shared" si="5"/>
        <v>69.600341914679802</v>
      </c>
      <c r="H40" s="111">
        <f t="shared" si="5"/>
        <v>70.157759731726401</v>
      </c>
      <c r="I40" s="111">
        <f t="shared" si="5"/>
        <v>69.724338170128306</v>
      </c>
      <c r="J40" s="111">
        <f t="shared" si="5"/>
        <v>70.204686021856801</v>
      </c>
    </row>
    <row r="41" spans="1:10" ht="15">
      <c r="A41" s="11" t="s">
        <v>66</v>
      </c>
      <c r="B41" s="68" t="s">
        <v>67</v>
      </c>
      <c r="C41" s="114" t="s">
        <v>232</v>
      </c>
      <c r="D41" s="11"/>
      <c r="E41" s="111">
        <f t="shared" si="5"/>
        <v>1623.9841897233202</v>
      </c>
      <c r="F41" s="111">
        <f t="shared" si="5"/>
        <v>1631.7849176221971</v>
      </c>
      <c r="G41" s="111">
        <f t="shared" si="5"/>
        <v>1666.4870599289532</v>
      </c>
      <c r="H41" s="111">
        <f t="shared" si="5"/>
        <v>1614.5895390315115</v>
      </c>
      <c r="I41" s="111">
        <f t="shared" si="5"/>
        <v>1601.7753363407853</v>
      </c>
      <c r="J41" s="111">
        <f t="shared" si="5"/>
        <v>1496.4683073080002</v>
      </c>
    </row>
    <row r="42" spans="1:10" ht="15">
      <c r="A42" s="11" t="s">
        <v>68</v>
      </c>
      <c r="B42" s="68" t="s">
        <v>9</v>
      </c>
      <c r="C42" s="114" t="s">
        <v>232</v>
      </c>
      <c r="D42" s="11"/>
      <c r="E42" s="111">
        <f t="shared" si="5"/>
        <v>58.28656126482214</v>
      </c>
      <c r="F42" s="111">
        <f t="shared" si="5"/>
        <v>106.46401596681407</v>
      </c>
      <c r="G42" s="111">
        <f t="shared" si="5"/>
        <v>0</v>
      </c>
      <c r="H42" s="111">
        <f t="shared" si="5"/>
        <v>0</v>
      </c>
      <c r="I42" s="111">
        <f t="shared" si="5"/>
        <v>0</v>
      </c>
      <c r="J42" s="111">
        <f t="shared" si="5"/>
        <v>0</v>
      </c>
    </row>
    <row r="43" spans="1:10" ht="15">
      <c r="A43" s="11" t="s">
        <v>70</v>
      </c>
      <c r="B43" s="321" t="s">
        <v>71</v>
      </c>
      <c r="C43" s="363" t="s">
        <v>232</v>
      </c>
      <c r="D43" s="319"/>
      <c r="E43" s="320">
        <f>E23*E$6</f>
        <v>7959.130434782609</v>
      </c>
      <c r="F43" s="320">
        <f>F23*F$6</f>
        <v>6380.8760223848476</v>
      </c>
      <c r="G43" s="320">
        <f>SUM(G34:G42)</f>
        <v>6560.0772970850321</v>
      </c>
      <c r="H43" s="320">
        <f>SUM(H34:H42)</f>
        <v>6377.6286791744706</v>
      </c>
      <c r="I43" s="320">
        <f>SUM(I34:I42)</f>
        <v>6319.4748122574401</v>
      </c>
      <c r="J43" s="320">
        <f>SUM(J34:J42)</f>
        <v>6224.1996633588315</v>
      </c>
    </row>
    <row r="44" spans="1:10" ht="15">
      <c r="A44" s="11"/>
      <c r="B44" s="116"/>
      <c r="C44" s="11"/>
      <c r="D44" s="11"/>
      <c r="E44" s="111"/>
      <c r="F44" s="111"/>
      <c r="G44" s="111"/>
      <c r="H44" s="111"/>
      <c r="I44" s="111"/>
      <c r="J44" s="111"/>
    </row>
    <row r="45" spans="1:10" ht="15">
      <c r="A45" s="11"/>
      <c r="B45" s="105" t="s">
        <v>163</v>
      </c>
      <c r="C45" s="11"/>
      <c r="D45" s="11"/>
      <c r="E45" s="322">
        <f t="shared" ref="E45:J45" si="6">E43+E32</f>
        <v>18047.730237154152</v>
      </c>
      <c r="F45" s="322">
        <f t="shared" si="6"/>
        <v>16876.039016945171</v>
      </c>
      <c r="G45" s="322">
        <f t="shared" si="6"/>
        <v>16580.565959787244</v>
      </c>
      <c r="H45" s="322">
        <f t="shared" si="6"/>
        <v>16545.698514265776</v>
      </c>
      <c r="I45" s="322">
        <f t="shared" si="6"/>
        <v>16583.085835057544</v>
      </c>
      <c r="J45" s="322">
        <f t="shared" si="6"/>
        <v>16738.275141000595</v>
      </c>
    </row>
    <row r="46" spans="1:10" ht="15">
      <c r="A46" s="11"/>
      <c r="B46" s="105"/>
      <c r="C46" s="11"/>
      <c r="D46" s="11"/>
      <c r="E46" s="16"/>
      <c r="F46" s="16"/>
      <c r="G46" s="16"/>
      <c r="H46" s="16"/>
      <c r="I46" s="16"/>
      <c r="J46" s="16"/>
    </row>
    <row r="47" spans="1:10" ht="15">
      <c r="A47" s="11"/>
      <c r="B47" s="14"/>
      <c r="C47" s="16"/>
      <c r="D47" s="16"/>
      <c r="E47" s="14"/>
      <c r="F47" s="17"/>
      <c r="G47" s="18"/>
      <c r="H47" s="19"/>
      <c r="I47" s="19"/>
      <c r="J47" s="19"/>
    </row>
    <row r="48" spans="1:10" ht="26.25">
      <c r="A48" s="14"/>
      <c r="B48" s="390" t="s">
        <v>219</v>
      </c>
      <c r="C48" s="391"/>
      <c r="D48" s="391"/>
      <c r="E48" s="391"/>
      <c r="G48" s="117"/>
      <c r="H48" s="117"/>
      <c r="I48" s="356" t="s">
        <v>218</v>
      </c>
      <c r="J48" s="355">
        <v>0.3</v>
      </c>
    </row>
    <row r="49" spans="2:11" ht="15">
      <c r="B49" s="325" t="s">
        <v>223</v>
      </c>
      <c r="C49" s="14"/>
      <c r="D49" s="17"/>
      <c r="F49" s="117"/>
      <c r="G49" s="117"/>
      <c r="H49" s="117"/>
      <c r="I49" s="117"/>
      <c r="J49" s="324"/>
    </row>
    <row r="50" spans="2:11" ht="15">
      <c r="B50" s="323" t="s">
        <v>224</v>
      </c>
      <c r="C50" s="117"/>
      <c r="D50" s="326">
        <f>Traffic!P8/Traffic!G8-1</f>
        <v>-3.2388663967611309E-2</v>
      </c>
      <c r="E50" s="326"/>
      <c r="F50" s="326"/>
      <c r="G50" s="326"/>
      <c r="H50" s="357" t="s">
        <v>221</v>
      </c>
      <c r="I50" s="117"/>
      <c r="J50" s="324">
        <f>J45</f>
        <v>16738.275141000595</v>
      </c>
      <c r="K50" s="8"/>
    </row>
    <row r="51" spans="2:11" ht="15">
      <c r="B51" s="323" t="s">
        <v>220</v>
      </c>
      <c r="C51" s="114" t="s">
        <v>232</v>
      </c>
      <c r="D51" s="111">
        <v>13600</v>
      </c>
      <c r="E51" s="324"/>
      <c r="F51" s="324"/>
      <c r="G51" s="324"/>
      <c r="H51" s="358" t="s">
        <v>222</v>
      </c>
      <c r="I51" s="324"/>
      <c r="J51" s="359">
        <f>D51*(1+$J$48*D50)</f>
        <v>13467.854251012144</v>
      </c>
    </row>
    <row r="52" spans="2:11" ht="15">
      <c r="H52" s="358" t="s">
        <v>208</v>
      </c>
      <c r="I52" s="358"/>
      <c r="J52" s="327">
        <f>J50-J51</f>
        <v>3270.4208899884507</v>
      </c>
    </row>
    <row r="53" spans="2:11" ht="15">
      <c r="B53" s="11"/>
      <c r="C53" s="11"/>
      <c r="D53" s="11"/>
      <c r="E53" s="11"/>
      <c r="F53" s="11"/>
      <c r="G53" s="11"/>
      <c r="H53" s="11"/>
      <c r="I53" s="11"/>
      <c r="J53" s="11"/>
    </row>
    <row r="54" spans="2:11" ht="15">
      <c r="B54" s="362" t="s">
        <v>225</v>
      </c>
      <c r="C54" s="11"/>
      <c r="D54" s="11"/>
      <c r="E54" s="11"/>
      <c r="F54" s="11"/>
      <c r="G54" s="11"/>
      <c r="H54" s="11"/>
      <c r="I54" s="11"/>
      <c r="J54" s="11"/>
    </row>
    <row r="55" spans="2:11" ht="15">
      <c r="B55" s="11" t="s">
        <v>226</v>
      </c>
      <c r="C55" s="11"/>
      <c r="D55" s="11"/>
      <c r="E55" s="329">
        <f t="shared" ref="E55:J55" si="7">E30+E31</f>
        <v>10088.599802371542</v>
      </c>
      <c r="F55" s="329">
        <f t="shared" si="7"/>
        <v>10495.162994560325</v>
      </c>
      <c r="G55" s="329">
        <f t="shared" si="7"/>
        <v>10020.48866270221</v>
      </c>
      <c r="H55" s="329">
        <f t="shared" si="7"/>
        <v>10168.069835091304</v>
      </c>
      <c r="I55" s="329">
        <f t="shared" si="7"/>
        <v>10263.611022800102</v>
      </c>
      <c r="J55" s="329">
        <f t="shared" si="7"/>
        <v>10514.075477641765</v>
      </c>
    </row>
    <row r="56" spans="2:11" ht="15">
      <c r="B56" s="11" t="s">
        <v>227</v>
      </c>
      <c r="C56" s="11"/>
      <c r="D56" s="11"/>
      <c r="E56" s="329">
        <f t="shared" ref="E56:J56" si="8">E34</f>
        <v>951.67885375494075</v>
      </c>
      <c r="F56" s="329">
        <f t="shared" si="8"/>
        <v>1185.0340468829493</v>
      </c>
      <c r="G56" s="329">
        <f t="shared" si="8"/>
        <v>1435.1394445505807</v>
      </c>
      <c r="H56" s="329">
        <f t="shared" si="8"/>
        <v>1303.204413646863</v>
      </c>
      <c r="I56" s="329">
        <f t="shared" si="8"/>
        <v>1256.9225286344752</v>
      </c>
      <c r="J56" s="329">
        <f t="shared" si="8"/>
        <v>1266.4555859995485</v>
      </c>
    </row>
    <row r="57" spans="2:11" ht="15">
      <c r="B57" s="11" t="s">
        <v>228</v>
      </c>
      <c r="C57" s="11"/>
      <c r="D57" s="11"/>
      <c r="E57" s="329">
        <f t="shared" ref="E57:J57" si="9">E55+E56</f>
        <v>11040.278656126482</v>
      </c>
      <c r="F57" s="329">
        <f t="shared" si="9"/>
        <v>11680.197041443274</v>
      </c>
      <c r="G57" s="329">
        <f t="shared" si="9"/>
        <v>11455.628107252791</v>
      </c>
      <c r="H57" s="329">
        <f t="shared" si="9"/>
        <v>11471.274248738167</v>
      </c>
      <c r="I57" s="329">
        <f t="shared" si="9"/>
        <v>11520.533551434577</v>
      </c>
      <c r="J57" s="361">
        <f t="shared" si="9"/>
        <v>11780.531063641314</v>
      </c>
    </row>
    <row r="58" spans="2:11" ht="15">
      <c r="B58" s="11" t="s">
        <v>229</v>
      </c>
      <c r="C58" s="11"/>
      <c r="D58" s="11"/>
      <c r="E58" s="329"/>
      <c r="F58" s="329"/>
      <c r="G58" s="329"/>
      <c r="H58" s="329"/>
      <c r="I58" s="329"/>
      <c r="J58" s="361">
        <f>J57-J52</f>
        <v>8510.1101736528635</v>
      </c>
    </row>
    <row r="59" spans="2:11" ht="15">
      <c r="B59" s="11" t="s">
        <v>230</v>
      </c>
      <c r="E59" s="360">
        <f>F57-J58</f>
        <v>3170.0868677904109</v>
      </c>
      <c r="H59" s="10"/>
      <c r="J59" s="360"/>
    </row>
    <row r="60" spans="2:11" ht="15">
      <c r="B60" s="319" t="s">
        <v>209</v>
      </c>
      <c r="C60" s="319"/>
      <c r="D60" s="319"/>
      <c r="E60" s="319"/>
      <c r="F60" s="320">
        <f>F57</f>
        <v>11680.197041443274</v>
      </c>
      <c r="G60" s="320">
        <f>F60-$E$59/4</f>
        <v>10887.675324495671</v>
      </c>
      <c r="H60" s="320">
        <f>G60-$E$59/4</f>
        <v>10095.153607548069</v>
      </c>
      <c r="I60" s="320">
        <f>H60-$E$59/4</f>
        <v>9302.6318906004672</v>
      </c>
      <c r="J60" s="320">
        <f>I60-$E$59/4</f>
        <v>8510.1101736528653</v>
      </c>
    </row>
    <row r="61" spans="2:11" ht="15">
      <c r="B61" s="11"/>
      <c r="C61" s="11"/>
      <c r="D61" s="11"/>
      <c r="E61" s="11"/>
      <c r="F61" s="11"/>
      <c r="G61" s="329"/>
      <c r="H61" s="329"/>
      <c r="I61" s="329"/>
      <c r="J61" s="329"/>
    </row>
    <row r="62" spans="2:11" ht="15">
      <c r="B62" s="392" t="s">
        <v>235</v>
      </c>
      <c r="C62" s="391"/>
      <c r="D62" s="391"/>
      <c r="E62" s="391"/>
      <c r="F62" s="391"/>
      <c r="G62" s="391"/>
      <c r="H62" s="329"/>
      <c r="I62" s="329"/>
      <c r="J62" s="329"/>
    </row>
    <row r="63" spans="2:11" ht="15">
      <c r="B63" s="11" t="s">
        <v>11</v>
      </c>
      <c r="C63" s="114" t="s">
        <v>232</v>
      </c>
      <c r="D63" s="11"/>
      <c r="E63" s="11"/>
      <c r="F63" s="11"/>
      <c r="G63" s="111">
        <f>G60/G57*G30</f>
        <v>7050.9949388827008</v>
      </c>
      <c r="H63" s="111">
        <f>H60/H57*H30</f>
        <v>6624.9445549534212</v>
      </c>
      <c r="I63" s="111">
        <f>I60/I57*I30</f>
        <v>6136.069861592604</v>
      </c>
      <c r="J63" s="111">
        <f>J60/J57*J30</f>
        <v>5623.359086753916</v>
      </c>
    </row>
    <row r="64" spans="2:11" ht="15">
      <c r="B64" s="11" t="s">
        <v>45</v>
      </c>
      <c r="C64" s="114" t="s">
        <v>232</v>
      </c>
      <c r="D64" s="11"/>
      <c r="E64" s="11"/>
      <c r="F64" s="11"/>
      <c r="G64" s="111">
        <f>G60/G57*G31</f>
        <v>2472.6929925732939</v>
      </c>
      <c r="H64" s="111">
        <f>H60/H57*H31</f>
        <v>2323.3400603162322</v>
      </c>
      <c r="I64" s="111">
        <f>I60/I57*I31</f>
        <v>2151.6187933767992</v>
      </c>
      <c r="J64" s="111">
        <f>J60/J57*J31</f>
        <v>1971.8792098442889</v>
      </c>
    </row>
    <row r="65" spans="1:10" ht="15">
      <c r="B65" s="11"/>
      <c r="C65" s="11"/>
      <c r="D65" s="11"/>
      <c r="E65" s="11"/>
      <c r="F65" s="11"/>
      <c r="G65" s="111"/>
      <c r="H65" s="111"/>
      <c r="I65" s="111"/>
      <c r="J65" s="111"/>
    </row>
    <row r="66" spans="1:10" ht="15">
      <c r="B66" s="11" t="s">
        <v>10</v>
      </c>
      <c r="C66" s="114" t="s">
        <v>232</v>
      </c>
      <c r="D66" s="11"/>
      <c r="E66" s="11"/>
      <c r="F66" s="11"/>
      <c r="G66" s="111">
        <f>G60/G57*G34</f>
        <v>1363.9873930396768</v>
      </c>
      <c r="H66" s="111">
        <f>H60/H57*H34</f>
        <v>1146.868992278417</v>
      </c>
      <c r="I66" s="111">
        <f>I60/I57*I34</f>
        <v>1014.9432356310645</v>
      </c>
      <c r="J66" s="111">
        <f>J60/J57*J34</f>
        <v>914.87187705465988</v>
      </c>
    </row>
    <row r="67" spans="1:10" ht="15">
      <c r="B67" s="114" t="s">
        <v>60</v>
      </c>
      <c r="C67" s="114" t="s">
        <v>232</v>
      </c>
      <c r="G67" s="85">
        <f t="shared" ref="G67:J74" si="10">G35</f>
        <v>200.95873369731493</v>
      </c>
      <c r="H67" s="85">
        <f t="shared" si="10"/>
        <v>200.86262717713447</v>
      </c>
      <c r="I67" s="85">
        <f t="shared" si="10"/>
        <v>200.69302743563958</v>
      </c>
      <c r="J67" s="85">
        <f t="shared" si="10"/>
        <v>200.45285350977534</v>
      </c>
    </row>
    <row r="68" spans="1:10" ht="15">
      <c r="B68" s="114" t="s">
        <v>16</v>
      </c>
      <c r="C68" s="114" t="s">
        <v>232</v>
      </c>
      <c r="G68" s="85">
        <f t="shared" si="10"/>
        <v>2066.443954311902</v>
      </c>
      <c r="H68" s="85">
        <f t="shared" si="10"/>
        <v>2067.2512490814174</v>
      </c>
      <c r="I68" s="85">
        <f t="shared" si="10"/>
        <v>2069.1168462378614</v>
      </c>
      <c r="J68" s="85">
        <f t="shared" si="10"/>
        <v>2069.1907459073586</v>
      </c>
    </row>
    <row r="69" spans="1:10" ht="15">
      <c r="A69" s="11"/>
      <c r="B69" s="114" t="s">
        <v>15</v>
      </c>
      <c r="C69" s="114" t="s">
        <v>232</v>
      </c>
      <c r="G69" s="85">
        <f t="shared" si="10"/>
        <v>0</v>
      </c>
      <c r="H69" s="85">
        <f t="shared" si="10"/>
        <v>0</v>
      </c>
      <c r="I69" s="85">
        <f t="shared" si="10"/>
        <v>0</v>
      </c>
      <c r="J69" s="85">
        <f t="shared" si="10"/>
        <v>0</v>
      </c>
    </row>
    <row r="70" spans="1:10" ht="15">
      <c r="A70" s="11"/>
      <c r="B70" s="114" t="s">
        <v>14</v>
      </c>
      <c r="C70" s="114" t="s">
        <v>232</v>
      </c>
      <c r="G70" s="85">
        <f t="shared" si="10"/>
        <v>853.82954658712833</v>
      </c>
      <c r="H70" s="85">
        <f t="shared" si="10"/>
        <v>854.38696440417493</v>
      </c>
      <c r="I70" s="85">
        <f t="shared" si="10"/>
        <v>853.65203219103034</v>
      </c>
      <c r="J70" s="85">
        <f t="shared" si="10"/>
        <v>854.464928555494</v>
      </c>
    </row>
    <row r="71" spans="1:10" ht="15">
      <c r="A71" s="11"/>
      <c r="B71" s="114" t="s">
        <v>13</v>
      </c>
      <c r="C71" s="114" t="s">
        <v>232</v>
      </c>
      <c r="D71" s="11"/>
      <c r="E71" s="11"/>
      <c r="F71" s="11"/>
      <c r="G71" s="85">
        <f t="shared" si="10"/>
        <v>267.61821609447304</v>
      </c>
      <c r="H71" s="85">
        <f t="shared" si="10"/>
        <v>267.17612610164298</v>
      </c>
      <c r="I71" s="85">
        <f t="shared" si="10"/>
        <v>267.59070324751946</v>
      </c>
      <c r="J71" s="85">
        <f t="shared" si="10"/>
        <v>266.96255605679761</v>
      </c>
    </row>
    <row r="72" spans="1:10" ht="15">
      <c r="A72" s="11"/>
      <c r="B72" s="114" t="s">
        <v>12</v>
      </c>
      <c r="C72" s="114" t="s">
        <v>232</v>
      </c>
      <c r="D72" s="11"/>
      <c r="E72" s="11"/>
      <c r="F72" s="11"/>
      <c r="G72" s="85">
        <f t="shared" si="10"/>
        <v>69.600341914679802</v>
      </c>
      <c r="H72" s="85">
        <f t="shared" si="10"/>
        <v>70.157759731726401</v>
      </c>
      <c r="I72" s="85">
        <f t="shared" si="10"/>
        <v>69.724338170128306</v>
      </c>
      <c r="J72" s="85">
        <f t="shared" si="10"/>
        <v>70.204686021856801</v>
      </c>
    </row>
    <row r="73" spans="1:10" ht="15">
      <c r="A73" s="11"/>
      <c r="B73" s="68" t="s">
        <v>67</v>
      </c>
      <c r="C73" s="114" t="s">
        <v>232</v>
      </c>
      <c r="D73" s="11"/>
      <c r="E73" s="11"/>
      <c r="F73" s="11"/>
      <c r="G73" s="85">
        <f t="shared" si="10"/>
        <v>1666.4870599289532</v>
      </c>
      <c r="H73" s="85">
        <f t="shared" si="10"/>
        <v>1614.5895390315115</v>
      </c>
      <c r="I73" s="85">
        <f t="shared" si="10"/>
        <v>1601.7753363407853</v>
      </c>
      <c r="J73" s="85">
        <f t="shared" si="10"/>
        <v>1496.4683073080002</v>
      </c>
    </row>
    <row r="74" spans="1:10" ht="15">
      <c r="A74" s="11"/>
      <c r="B74" s="68" t="s">
        <v>9</v>
      </c>
      <c r="C74" s="114" t="s">
        <v>232</v>
      </c>
      <c r="D74" s="11"/>
      <c r="E74" s="11"/>
      <c r="F74" s="11"/>
      <c r="G74" s="85">
        <f t="shared" si="10"/>
        <v>0</v>
      </c>
      <c r="H74" s="85">
        <f t="shared" si="10"/>
        <v>0</v>
      </c>
      <c r="I74" s="85">
        <f t="shared" si="10"/>
        <v>0</v>
      </c>
      <c r="J74" s="85">
        <f t="shared" si="10"/>
        <v>0</v>
      </c>
    </row>
    <row r="76" spans="1:10" ht="15">
      <c r="B76" s="319" t="s">
        <v>211</v>
      </c>
      <c r="C76" s="319"/>
      <c r="D76" s="319"/>
      <c r="E76" s="319"/>
      <c r="F76" s="319"/>
      <c r="G76" s="320">
        <f>SUM(G63:G74)</f>
        <v>16012.613177030125</v>
      </c>
      <c r="H76" s="320">
        <f>SUM(H63:H74)</f>
        <v>15169.577873075676</v>
      </c>
      <c r="I76" s="320">
        <f>SUM(I63:I74)</f>
        <v>14365.18417422343</v>
      </c>
      <c r="J76" s="320">
        <f>SUM(J63:J74)</f>
        <v>13467.854251012148</v>
      </c>
    </row>
    <row r="77" spans="1:10" ht="15">
      <c r="B77" s="11" t="s">
        <v>210</v>
      </c>
      <c r="C77" s="11"/>
      <c r="D77" s="11"/>
      <c r="E77" s="11"/>
      <c r="F77" s="11"/>
      <c r="G77" s="11"/>
      <c r="H77" s="11"/>
      <c r="I77" s="11"/>
      <c r="J77" s="331">
        <f>SUM(G76:J76)/SUM(G25:J25)</f>
        <v>0.84488517502278282</v>
      </c>
    </row>
    <row r="78" spans="1:10" ht="15">
      <c r="B78" s="11"/>
      <c r="C78" s="11"/>
      <c r="D78" s="11"/>
      <c r="E78" s="11"/>
      <c r="F78" s="11"/>
      <c r="G78" s="11"/>
      <c r="H78" s="11"/>
      <c r="I78" s="11"/>
      <c r="J78" s="11"/>
    </row>
    <row r="79" spans="1:10" ht="15">
      <c r="B79" s="321" t="s">
        <v>231</v>
      </c>
      <c r="C79" s="319"/>
      <c r="D79" s="319"/>
      <c r="E79" s="319"/>
      <c r="F79" s="319"/>
      <c r="G79" s="330">
        <f>G76*1000</f>
        <v>16012613.177030126</v>
      </c>
      <c r="H79" s="330">
        <f>H76*1000</f>
        <v>15169577.873075675</v>
      </c>
      <c r="I79" s="330">
        <f>I76*1000</f>
        <v>14365184.17422343</v>
      </c>
      <c r="J79" s="330">
        <f>J76*1000</f>
        <v>13467854.251012148</v>
      </c>
    </row>
  </sheetData>
  <mergeCells count="2">
    <mergeCell ref="B48:E48"/>
    <mergeCell ref="B62:G6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P804"/>
  <sheetViews>
    <sheetView topLeftCell="A73" workbookViewId="0">
      <selection activeCell="L23" sqref="L23"/>
    </sheetView>
  </sheetViews>
  <sheetFormatPr defaultRowHeight="12.75"/>
  <cols>
    <col min="2" max="2" width="27" customWidth="1"/>
    <col min="4" max="4" width="11.875" bestFit="1" customWidth="1"/>
    <col min="5" max="5" width="11.375" customWidth="1"/>
    <col min="6" max="6" width="13.25" bestFit="1" customWidth="1"/>
    <col min="7" max="7" width="12.5" customWidth="1"/>
    <col min="8" max="8" width="11.875" customWidth="1"/>
    <col min="9" max="9" width="10.875" bestFit="1" customWidth="1"/>
    <col min="10" max="10" width="11.875" bestFit="1" customWidth="1"/>
    <col min="11" max="11" width="13.875" customWidth="1"/>
    <col min="12" max="13" width="10.625" customWidth="1"/>
  </cols>
  <sheetData>
    <row r="3" spans="2:24" s="11" customFormat="1" ht="26.25">
      <c r="B3" s="101" t="s">
        <v>243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5" spans="2:24" ht="15">
      <c r="B5" s="11" t="s">
        <v>244</v>
      </c>
      <c r="C5" s="142">
        <f>E44</f>
        <v>29208790.810776312</v>
      </c>
    </row>
    <row r="6" spans="2:24" ht="15">
      <c r="B6" s="11" t="s">
        <v>241</v>
      </c>
      <c r="C6" s="142">
        <f>+SUM(E45:I45)</f>
        <v>27407196.837016661</v>
      </c>
    </row>
    <row r="7" spans="2:24" ht="15">
      <c r="B7" s="11" t="s">
        <v>242</v>
      </c>
      <c r="C7" s="142">
        <f>+SUM(E46:I46)</f>
        <v>39811731.204248875</v>
      </c>
      <c r="E7" s="146"/>
    </row>
    <row r="8" spans="2:24">
      <c r="B8" t="s">
        <v>236</v>
      </c>
      <c r="C8" s="142">
        <f>'Opening RAB'!J67</f>
        <v>5395285.9680336453</v>
      </c>
      <c r="E8" s="140"/>
      <c r="F8" s="140"/>
      <c r="G8" s="140"/>
      <c r="H8" s="140"/>
      <c r="I8" s="140"/>
    </row>
    <row r="9" spans="2:24">
      <c r="B9" t="s">
        <v>247</v>
      </c>
      <c r="C9" s="142">
        <f>'Opening RAB'!K86</f>
        <v>2294802.3382075992</v>
      </c>
      <c r="E9" s="140"/>
      <c r="F9" s="140"/>
      <c r="G9" s="140"/>
      <c r="H9" s="140"/>
    </row>
    <row r="10" spans="2:24" ht="15">
      <c r="B10" s="11" t="s">
        <v>245</v>
      </c>
      <c r="C10" s="142">
        <f>J66</f>
        <v>0</v>
      </c>
      <c r="E10" s="140"/>
      <c r="F10" s="140"/>
      <c r="G10" s="140"/>
      <c r="H10" s="140"/>
    </row>
    <row r="11" spans="2:24" ht="15">
      <c r="B11" s="11" t="s">
        <v>246</v>
      </c>
      <c r="C11" s="142">
        <v>0</v>
      </c>
      <c r="E11" s="140"/>
      <c r="F11" s="140"/>
      <c r="G11" s="140"/>
      <c r="H11" s="140"/>
    </row>
    <row r="12" spans="2:24">
      <c r="B12" s="10" t="s">
        <v>240</v>
      </c>
      <c r="C12" s="368">
        <f>I47+C8-C9</f>
        <v>19904740.073370151</v>
      </c>
    </row>
    <row r="15" spans="2:24" s="11" customFormat="1" ht="15">
      <c r="B15" s="105"/>
    </row>
    <row r="16" spans="2:24" s="11" customFormat="1" ht="26.25">
      <c r="B16" s="101" t="s">
        <v>239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</row>
    <row r="17" spans="2:14" s="11" customFormat="1" ht="15">
      <c r="N17"/>
    </row>
    <row r="18" spans="2:14" s="11" customFormat="1" ht="15">
      <c r="B18" s="10" t="s">
        <v>145</v>
      </c>
      <c r="C18"/>
      <c r="D18"/>
      <c r="E18"/>
      <c r="F18"/>
      <c r="G18"/>
      <c r="H18"/>
      <c r="I18"/>
      <c r="J18"/>
      <c r="K18"/>
      <c r="L18"/>
      <c r="M18"/>
      <c r="N18"/>
    </row>
    <row r="19" spans="2:14" s="11" customFormat="1" ht="15">
      <c r="B19" s="139" t="s">
        <v>147</v>
      </c>
      <c r="C19" s="139"/>
      <c r="D19"/>
      <c r="E19"/>
      <c r="F19"/>
      <c r="G19"/>
      <c r="H19"/>
      <c r="I19"/>
      <c r="J19"/>
      <c r="K19"/>
      <c r="L19"/>
      <c r="M19"/>
      <c r="N19"/>
    </row>
    <row r="20" spans="2:14" s="11" customFormat="1" ht="15">
      <c r="B20" t="s">
        <v>126</v>
      </c>
      <c r="C20"/>
      <c r="D20" s="56">
        <v>2006</v>
      </c>
      <c r="E20" s="56" t="s">
        <v>127</v>
      </c>
      <c r="F20" s="56">
        <v>2008</v>
      </c>
      <c r="G20" s="56">
        <v>2009</v>
      </c>
      <c r="H20" s="56">
        <v>2010</v>
      </c>
      <c r="I20" s="56">
        <v>2011</v>
      </c>
      <c r="J20"/>
      <c r="K20"/>
      <c r="L20"/>
      <c r="M20"/>
      <c r="N20"/>
    </row>
    <row r="21" spans="2:14" s="11" customFormat="1" ht="15">
      <c r="B21" t="s">
        <v>4</v>
      </c>
      <c r="C21"/>
      <c r="D21"/>
      <c r="E21" s="286">
        <v>28146130.771446198</v>
      </c>
      <c r="F21" s="364">
        <f>E24</f>
        <v>36654760.933393076</v>
      </c>
      <c r="G21" s="364">
        <f>F24</f>
        <v>42477312.986860402</v>
      </c>
      <c r="H21" s="364">
        <f>G24</f>
        <v>41102467.685388342</v>
      </c>
      <c r="I21" s="364">
        <f>H24</f>
        <v>42127947.668856665</v>
      </c>
      <c r="J21"/>
      <c r="K21" s="142"/>
      <c r="L21"/>
      <c r="M21"/>
      <c r="N21"/>
    </row>
    <row r="22" spans="2:14" s="11" customFormat="1" ht="15">
      <c r="B22" t="s">
        <v>128</v>
      </c>
      <c r="C22"/>
      <c r="D22"/>
      <c r="E22" s="286">
        <v>12134250</v>
      </c>
      <c r="F22" s="286">
        <v>12520000</v>
      </c>
      <c r="G22" s="286">
        <v>6522000</v>
      </c>
      <c r="H22" s="286">
        <v>9314000</v>
      </c>
      <c r="I22" s="286">
        <v>2925000</v>
      </c>
      <c r="J22"/>
      <c r="K22" s="142"/>
      <c r="L22"/>
      <c r="M22"/>
      <c r="N22"/>
    </row>
    <row r="23" spans="2:14" s="11" customFormat="1" ht="15">
      <c r="B23" t="s">
        <v>31</v>
      </c>
      <c r="C23"/>
      <c r="D23"/>
      <c r="E23" s="287">
        <v>-3625619.8380531222</v>
      </c>
      <c r="F23" s="287">
        <v>-6697447.9465326741</v>
      </c>
      <c r="G23" s="287">
        <v>-7896845.3014720604</v>
      </c>
      <c r="H23" s="287">
        <v>-8288520.0165316761</v>
      </c>
      <c r="I23" s="287">
        <v>-7534672.6809495091</v>
      </c>
      <c r="J23"/>
      <c r="K23" s="142"/>
      <c r="L23" s="142"/>
      <c r="M23"/>
      <c r="N23"/>
    </row>
    <row r="24" spans="2:14" s="11" customFormat="1" ht="15">
      <c r="B24" t="s">
        <v>1</v>
      </c>
      <c r="C24"/>
      <c r="D24"/>
      <c r="E24" s="364">
        <f>SUM(E21:E23)</f>
        <v>36654760.933393076</v>
      </c>
      <c r="F24" s="364">
        <f>SUM(F21:F23)</f>
        <v>42477312.986860402</v>
      </c>
      <c r="G24" s="364">
        <f>SUM(G21:G23)</f>
        <v>41102467.685388342</v>
      </c>
      <c r="H24" s="364">
        <f>SUM(H21:H23)</f>
        <v>42127947.668856665</v>
      </c>
      <c r="I24" s="364">
        <f>SUM(I21:I23)</f>
        <v>37518274.987907156</v>
      </c>
      <c r="J24"/>
      <c r="K24" s="142"/>
      <c r="L24"/>
      <c r="M24"/>
      <c r="N24"/>
    </row>
    <row r="25" spans="2:14" s="11" customFormat="1" ht="15">
      <c r="B25"/>
      <c r="C25"/>
      <c r="D25"/>
      <c r="E25"/>
      <c r="F25"/>
      <c r="G25"/>
      <c r="H25"/>
      <c r="I25"/>
      <c r="J25"/>
      <c r="K25" s="142"/>
      <c r="L25"/>
      <c r="M25"/>
      <c r="N25"/>
    </row>
    <row r="26" spans="2:14" s="11" customFormat="1" ht="15">
      <c r="B26" t="s">
        <v>46</v>
      </c>
      <c r="C26"/>
      <c r="D26" s="2"/>
      <c r="E26" s="288">
        <v>4.7199999999999999E-2</v>
      </c>
      <c r="F26" s="288">
        <v>6.2E-2</v>
      </c>
      <c r="G26" s="288">
        <v>6.2E-2</v>
      </c>
      <c r="H26" s="288">
        <v>6.2E-2</v>
      </c>
      <c r="I26" s="288">
        <v>6.2E-2</v>
      </c>
      <c r="J26"/>
      <c r="K26"/>
      <c r="L26"/>
      <c r="M26"/>
      <c r="N26"/>
    </row>
    <row r="27" spans="2:14" s="11" customFormat="1" ht="15">
      <c r="B27" t="s">
        <v>41</v>
      </c>
      <c r="C27"/>
      <c r="D27"/>
      <c r="E27" s="286">
        <v>1494868.7097164264</v>
      </c>
      <c r="F27" s="286">
        <v>2379334.9093383704</v>
      </c>
      <c r="G27" s="286">
        <v>2513068.0900482186</v>
      </c>
      <c r="H27" s="286">
        <v>2502563.4102634308</v>
      </c>
      <c r="I27" s="286">
        <v>2394794.279689312</v>
      </c>
      <c r="J27"/>
      <c r="K27"/>
      <c r="L27"/>
      <c r="M27"/>
      <c r="N27"/>
    </row>
    <row r="28" spans="2:14" s="11" customFormat="1" ht="15">
      <c r="B28" t="s">
        <v>2</v>
      </c>
      <c r="C28"/>
      <c r="D28"/>
      <c r="E28" s="286">
        <f>E27-E23</f>
        <v>5120488.5477695484</v>
      </c>
      <c r="F28" s="286">
        <f>F27-F23</f>
        <v>9076782.8558710441</v>
      </c>
      <c r="G28" s="286">
        <f>G27-G23</f>
        <v>10409913.391520279</v>
      </c>
      <c r="H28" s="286">
        <f>H27-H23</f>
        <v>10791083.426795106</v>
      </c>
      <c r="I28" s="286">
        <f>I27-I23</f>
        <v>9929466.9606388211</v>
      </c>
      <c r="J28"/>
      <c r="K28"/>
      <c r="L28"/>
      <c r="M28"/>
      <c r="N28"/>
    </row>
    <row r="29" spans="2:14" s="11" customFormat="1" ht="15">
      <c r="B29"/>
      <c r="C29"/>
      <c r="D29"/>
      <c r="E29">
        <f>AVERAGE(E24,E21)*E26/(1+E26/2)</f>
        <v>1494041.661033809</v>
      </c>
      <c r="F29"/>
      <c r="G29"/>
      <c r="H29" s="3"/>
      <c r="I29"/>
      <c r="J29"/>
      <c r="K29"/>
      <c r="L29"/>
      <c r="M29"/>
      <c r="N29"/>
    </row>
    <row r="30" spans="2:14" s="11" customFormat="1" ht="15">
      <c r="B30" s="143" t="s">
        <v>146</v>
      </c>
      <c r="C30" s="139"/>
      <c r="D30"/>
      <c r="E30"/>
      <c r="F30"/>
      <c r="G30"/>
      <c r="H30"/>
      <c r="I30"/>
      <c r="J30"/>
      <c r="K30"/>
      <c r="L30"/>
      <c r="M30"/>
      <c r="N30"/>
    </row>
    <row r="31" spans="2:14" s="11" customFormat="1" ht="15">
      <c r="B31" s="139" t="s">
        <v>149</v>
      </c>
      <c r="C31"/>
      <c r="D31" s="56">
        <v>2006</v>
      </c>
      <c r="E31" s="56" t="s">
        <v>127</v>
      </c>
      <c r="F31" s="56">
        <v>2008</v>
      </c>
      <c r="G31" s="56">
        <v>2009</v>
      </c>
      <c r="H31" s="56">
        <v>2010</v>
      </c>
      <c r="I31" s="56">
        <v>2011</v>
      </c>
      <c r="J31"/>
      <c r="K31"/>
      <c r="L31"/>
      <c r="M31"/>
      <c r="N31"/>
    </row>
    <row r="32" spans="2:14" s="11" customFormat="1" ht="15">
      <c r="B32" t="s">
        <v>233</v>
      </c>
      <c r="C32"/>
      <c r="D32" s="289">
        <f>CPI!E10</f>
        <v>1.0377551020408164</v>
      </c>
      <c r="E32"/>
      <c r="F32" s="7"/>
      <c r="G32"/>
      <c r="H32" s="5"/>
      <c r="I32"/>
      <c r="J32"/>
      <c r="K32"/>
      <c r="L32"/>
      <c r="M32"/>
      <c r="N32"/>
    </row>
    <row r="33" spans="1:14" s="11" customFormat="1" ht="15">
      <c r="B33" t="s">
        <v>4</v>
      </c>
      <c r="C33"/>
      <c r="D33"/>
      <c r="E33" s="146">
        <f>E21*$D$32</f>
        <v>29208790.810776312</v>
      </c>
      <c r="F33" s="140">
        <f>E36</f>
        <v>38038665.17271506</v>
      </c>
      <c r="G33" s="140">
        <f>F36</f>
        <v>44081048.273099005</v>
      </c>
      <c r="H33" s="140">
        <f>G36</f>
        <v>42654295.546979532</v>
      </c>
      <c r="I33" s="140">
        <f>H36</f>
        <v>43718492.631864518</v>
      </c>
      <c r="J33"/>
      <c r="K33" s="142"/>
      <c r="L33"/>
      <c r="M33"/>
      <c r="N33"/>
    </row>
    <row r="34" spans="1:14" s="11" customFormat="1" ht="15">
      <c r="B34" t="s">
        <v>128</v>
      </c>
      <c r="C34"/>
      <c r="D34"/>
      <c r="E34" s="140">
        <f>E22*$D$32</f>
        <v>12592379.846938778</v>
      </c>
      <c r="F34" s="140">
        <f t="shared" ref="F34:I35" si="0">F22*$D$32</f>
        <v>12992693.877551021</v>
      </c>
      <c r="G34" s="140">
        <f t="shared" si="0"/>
        <v>6768238.775510205</v>
      </c>
      <c r="H34" s="140">
        <f t="shared" si="0"/>
        <v>9665651.0204081647</v>
      </c>
      <c r="I34" s="140">
        <f t="shared" si="0"/>
        <v>3035433.6734693879</v>
      </c>
      <c r="J34"/>
      <c r="K34" s="142"/>
      <c r="L34"/>
      <c r="M34"/>
      <c r="N34"/>
    </row>
    <row r="35" spans="1:14" s="11" customFormat="1" ht="15">
      <c r="B35" t="s">
        <v>31</v>
      </c>
      <c r="C35"/>
      <c r="D35"/>
      <c r="E35" s="140">
        <f>E23*$D$32</f>
        <v>-3762505.4850000264</v>
      </c>
      <c r="F35" s="140">
        <f t="shared" si="0"/>
        <v>-6950310.7771670716</v>
      </c>
      <c r="G35" s="140">
        <f t="shared" si="0"/>
        <v>-8194991.5016296804</v>
      </c>
      <c r="H35" s="140">
        <f t="shared" si="0"/>
        <v>-8601453.9355231784</v>
      </c>
      <c r="I35" s="140">
        <f t="shared" si="0"/>
        <v>-7819145.0168629102</v>
      </c>
      <c r="J35" s="140"/>
      <c r="K35" s="142"/>
      <c r="L35" s="142"/>
      <c r="M35"/>
      <c r="N35"/>
    </row>
    <row r="36" spans="1:14" s="11" customFormat="1" ht="15">
      <c r="B36" t="s">
        <v>1</v>
      </c>
      <c r="C36"/>
      <c r="D36"/>
      <c r="E36" s="140">
        <f>SUM(E33:E35)</f>
        <v>38038665.17271506</v>
      </c>
      <c r="F36" s="140">
        <f>SUM(F33:F35)</f>
        <v>44081048.273099005</v>
      </c>
      <c r="G36" s="140">
        <f>SUM(G33:G35)</f>
        <v>42654295.546979532</v>
      </c>
      <c r="H36" s="140">
        <f>SUM(H33:H35)</f>
        <v>43718492.631864518</v>
      </c>
      <c r="I36" s="146">
        <f>SUM(I33:I35)</f>
        <v>38934781.288470998</v>
      </c>
      <c r="J36"/>
      <c r="K36" s="142"/>
      <c r="L36"/>
      <c r="M36"/>
      <c r="N36"/>
    </row>
    <row r="37" spans="1:14" s="11" customFormat="1" ht="15">
      <c r="B37" t="s">
        <v>2</v>
      </c>
      <c r="C37"/>
      <c r="D37"/>
      <c r="E37" s="140">
        <f>E28*$D$32</f>
        <v>5313813.1153894197</v>
      </c>
      <c r="F37" s="140">
        <f>F28*$D$32</f>
        <v>9419477.7187967878</v>
      </c>
      <c r="G37" s="140">
        <f>G28*$D$32</f>
        <v>10802940.733853187</v>
      </c>
      <c r="H37" s="140">
        <f>H28*$D$32</f>
        <v>11198501.882704718</v>
      </c>
      <c r="I37" s="140">
        <f>I28*$D$32</f>
        <v>10304354.998948656</v>
      </c>
      <c r="J37"/>
      <c r="K37" s="142"/>
      <c r="L37"/>
      <c r="M37"/>
      <c r="N37"/>
    </row>
    <row r="38" spans="1:14" s="11" customFormat="1" ht="15">
      <c r="B38"/>
      <c r="C38"/>
      <c r="D38"/>
      <c r="E38" s="140"/>
      <c r="F38" s="140"/>
      <c r="G38" s="140"/>
      <c r="H38" s="140"/>
      <c r="I38" s="140"/>
      <c r="J38"/>
      <c r="K38" s="142"/>
      <c r="L38"/>
      <c r="M38"/>
      <c r="N38"/>
    </row>
    <row r="39" spans="1:14" s="11" customFormat="1" ht="15">
      <c r="A39" s="328" t="s">
        <v>234</v>
      </c>
      <c r="B39"/>
      <c r="C39"/>
      <c r="D39"/>
      <c r="E39" s="140"/>
      <c r="F39" s="140"/>
      <c r="G39" s="140"/>
      <c r="H39" s="140"/>
      <c r="I39" s="140"/>
      <c r="J39"/>
      <c r="K39" s="142"/>
      <c r="L39"/>
      <c r="M39"/>
      <c r="N39"/>
    </row>
    <row r="40" spans="1:14" s="11" customFormat="1" ht="15">
      <c r="B40"/>
      <c r="C40"/>
      <c r="D40"/>
      <c r="E40" s="140"/>
      <c r="F40" s="140"/>
      <c r="G40" s="140"/>
      <c r="H40" s="140"/>
      <c r="I40" s="140"/>
      <c r="J40"/>
      <c r="K40" s="142"/>
      <c r="L40"/>
      <c r="M40"/>
      <c r="N40"/>
    </row>
    <row r="41" spans="1:14" s="11" customFormat="1" ht="15">
      <c r="B41" s="139" t="s">
        <v>149</v>
      </c>
      <c r="C41"/>
      <c r="D41" s="56">
        <v>2006</v>
      </c>
      <c r="E41" s="56" t="s">
        <v>127</v>
      </c>
      <c r="F41" s="56">
        <v>2008</v>
      </c>
      <c r="G41" s="56">
        <v>2009</v>
      </c>
      <c r="H41" s="56">
        <v>2010</v>
      </c>
      <c r="I41" s="56">
        <v>2011</v>
      </c>
      <c r="J41"/>
      <c r="K41" s="142"/>
      <c r="L41"/>
      <c r="M41"/>
      <c r="N41"/>
    </row>
    <row r="42" spans="1:14" s="11" customFormat="1" ht="15">
      <c r="B42" s="10"/>
      <c r="C42"/>
      <c r="D42"/>
      <c r="E42" s="140"/>
      <c r="F42" s="140"/>
      <c r="G42" s="140"/>
      <c r="H42" s="140"/>
      <c r="I42" s="140"/>
      <c r="J42"/>
      <c r="K42" s="142"/>
      <c r="L42"/>
      <c r="M42"/>
      <c r="N42"/>
    </row>
    <row r="43" spans="1:14" s="11" customFormat="1" ht="15">
      <c r="B43" s="10" t="s">
        <v>148</v>
      </c>
      <c r="C43"/>
      <c r="D43" s="291"/>
      <c r="E43" s="295"/>
      <c r="F43" s="296"/>
      <c r="G43" s="290"/>
      <c r="H43" s="292"/>
      <c r="I43" s="290"/>
      <c r="J43" s="140"/>
      <c r="K43" s="142"/>
      <c r="L43"/>
      <c r="M43"/>
      <c r="N43"/>
    </row>
    <row r="44" spans="1:14" s="11" customFormat="1" ht="15">
      <c r="B44" t="s">
        <v>4</v>
      </c>
      <c r="C44"/>
      <c r="D44" s="366"/>
      <c r="E44" s="369">
        <f>E33</f>
        <v>29208790.810776312</v>
      </c>
      <c r="F44" s="370">
        <f>E47</f>
        <v>28929450.835245185</v>
      </c>
      <c r="G44" s="371">
        <f>F47</f>
        <v>26605045.834651835</v>
      </c>
      <c r="H44" s="369">
        <f>G47</f>
        <v>27283950.429504074</v>
      </c>
      <c r="I44" s="369">
        <f>H47</f>
        <v>21138079.88838492</v>
      </c>
      <c r="J44" s="140"/>
      <c r="K44" s="142"/>
      <c r="L44"/>
      <c r="M44"/>
      <c r="N44"/>
    </row>
    <row r="45" spans="1:14" s="11" customFormat="1" ht="15">
      <c r="A45" s="351">
        <f>E37</f>
        <v>5313813.1153894197</v>
      </c>
      <c r="B45" t="s">
        <v>251</v>
      </c>
      <c r="C45"/>
      <c r="D45" s="367"/>
      <c r="E45" s="375">
        <f>('IAA submission'!C84*CPI!E11)*1000</f>
        <v>3694044.7470817119</v>
      </c>
      <c r="F45" s="376">
        <f>('IAA submission'!D84*CPI!E12)*1000</f>
        <v>5425267.2897196263</v>
      </c>
      <c r="G45" s="377">
        <f>('IAA submission'!E84*CPI!E13)*1000</f>
        <v>9861516.6340508796</v>
      </c>
      <c r="H45" s="376">
        <f>('IAA submission'!F84*CPI!E14)*1000</f>
        <v>3596682.8063241108</v>
      </c>
      <c r="I45" s="378">
        <f>('IAA submission'!G84*CPI!E15)*1000</f>
        <v>4829685.3598403325</v>
      </c>
      <c r="J45"/>
      <c r="K45" s="142"/>
      <c r="L45"/>
      <c r="M45"/>
      <c r="N45"/>
    </row>
    <row r="46" spans="1:14" s="11" customFormat="1" ht="15">
      <c r="B46" t="s">
        <v>31</v>
      </c>
      <c r="C46"/>
      <c r="D46" s="243"/>
      <c r="E46" s="372">
        <f>(1+E26/2)*E37-E26/2*E45-E26*E44</f>
        <v>3973384.7226128401</v>
      </c>
      <c r="F46" s="372">
        <f>(1+F26/2)*F37-F26/2*F45-F26*F44</f>
        <v>7749672.2903129775</v>
      </c>
      <c r="G46" s="372">
        <f>(1+G26/2)*G37-G26/2*G45-G26*G44</f>
        <v>9182612.0391986445</v>
      </c>
      <c r="H46" s="372">
        <f>(1+H26/2)*H37-H26/2*H45-H26*H44</f>
        <v>9742553.347443264</v>
      </c>
      <c r="I46" s="372">
        <f>(1+I26/2)*I37-I26/2*I45-I26*I44</f>
        <v>9163508.8046811502</v>
      </c>
      <c r="J46" s="265"/>
      <c r="K46" s="142"/>
      <c r="L46"/>
      <c r="M46"/>
      <c r="N46"/>
    </row>
    <row r="47" spans="1:14" s="11" customFormat="1" ht="15">
      <c r="B47" t="s">
        <v>1</v>
      </c>
      <c r="C47"/>
      <c r="D47"/>
      <c r="E47" s="373">
        <f>E44+E45-E46</f>
        <v>28929450.835245185</v>
      </c>
      <c r="F47" s="373">
        <f>F44+F45-F46</f>
        <v>26605045.834651835</v>
      </c>
      <c r="G47" s="374">
        <f>G44+G45-G46</f>
        <v>27283950.429504074</v>
      </c>
      <c r="H47" s="373">
        <f>H44+H45-H46</f>
        <v>21138079.88838492</v>
      </c>
      <c r="I47" s="374">
        <f>I44+I45-I46</f>
        <v>16804256.443544105</v>
      </c>
      <c r="J47" s="172"/>
      <c r="M47"/>
      <c r="N47"/>
    </row>
    <row r="48" spans="1:14" s="11" customFormat="1" ht="15">
      <c r="B48"/>
      <c r="C48"/>
      <c r="D48"/>
      <c r="E48" s="140"/>
      <c r="F48" s="244"/>
      <c r="G48" s="245"/>
      <c r="H48" s="140"/>
      <c r="I48" s="140"/>
      <c r="J48"/>
      <c r="M48"/>
      <c r="N48"/>
    </row>
    <row r="49" spans="2:22" s="11" customFormat="1" ht="15">
      <c r="B49" t="s">
        <v>42</v>
      </c>
      <c r="C49"/>
      <c r="D49"/>
      <c r="E49" s="140">
        <f>(E47+E44)/2</f>
        <v>29069120.82301075</v>
      </c>
      <c r="F49" s="140">
        <f>(F47+F44)/2</f>
        <v>27767248.33494851</v>
      </c>
      <c r="G49" s="140">
        <f>(G47+G44)/2</f>
        <v>26944498.132077955</v>
      </c>
      <c r="H49" s="140">
        <f>(H47+H44)/2</f>
        <v>24211015.158944495</v>
      </c>
      <c r="I49" s="140">
        <f>(I47+I44)/2</f>
        <v>18971168.165964514</v>
      </c>
      <c r="J49" s="140"/>
      <c r="M49"/>
      <c r="N49"/>
    </row>
    <row r="50" spans="2:22" s="11" customFormat="1" ht="15">
      <c r="B50" t="s">
        <v>41</v>
      </c>
      <c r="C50"/>
      <c r="D50"/>
      <c r="E50" s="140">
        <f>E49*C54</f>
        <v>1340428.3927765801</v>
      </c>
      <c r="F50" s="140">
        <f>F49*$D$54</f>
        <v>1669805.4284838096</v>
      </c>
      <c r="G50" s="140">
        <f>G49*$D$54</f>
        <v>1620328.6946545425</v>
      </c>
      <c r="H50" s="140">
        <f>H49*$D$54</f>
        <v>1455948.5352614538</v>
      </c>
      <c r="I50" s="140">
        <f>I49*$D$54</f>
        <v>1140846.1942675072</v>
      </c>
      <c r="J50"/>
      <c r="L50" s="142"/>
      <c r="M50"/>
      <c r="N50"/>
    </row>
    <row r="51" spans="2:22" s="11" customFormat="1" ht="15">
      <c r="B51" s="11" t="s">
        <v>248</v>
      </c>
      <c r="E51" s="140">
        <f>E50+E46</f>
        <v>5313813.1153894197</v>
      </c>
      <c r="F51" s="140">
        <f>F50+F46</f>
        <v>9419477.7187967878</v>
      </c>
      <c r="G51" s="140">
        <f>G50+G46</f>
        <v>10802940.733853187</v>
      </c>
      <c r="H51" s="140">
        <f>H50+H46</f>
        <v>11198501.882704718</v>
      </c>
      <c r="I51" s="140">
        <f>I50+I46</f>
        <v>10304354.998948658</v>
      </c>
      <c r="J51"/>
      <c r="K51" s="142"/>
      <c r="L51"/>
      <c r="M51"/>
      <c r="N51"/>
    </row>
    <row r="52" spans="2:22" s="11" customFormat="1" ht="15">
      <c r="J52"/>
      <c r="K52" s="142"/>
      <c r="L52"/>
      <c r="M52"/>
      <c r="N52"/>
    </row>
    <row r="53" spans="2:22" s="11" customFormat="1" ht="15">
      <c r="B53" s="145" t="s">
        <v>85</v>
      </c>
      <c r="C53" s="365">
        <f>E26</f>
        <v>4.7199999999999999E-2</v>
      </c>
      <c r="D53" s="293">
        <v>6.2E-2</v>
      </c>
      <c r="J53" s="140"/>
      <c r="K53" s="142"/>
      <c r="L53"/>
      <c r="M53"/>
      <c r="N53"/>
    </row>
    <row r="54" spans="2:22" s="11" customFormat="1" ht="15">
      <c r="B54" s="145" t="s">
        <v>129</v>
      </c>
      <c r="C54" s="2">
        <f>C53/(1+C53/2)</f>
        <v>4.6111762407190303E-2</v>
      </c>
      <c r="D54" s="2">
        <f>D53/(1+D53/2)</f>
        <v>6.013579049466538E-2</v>
      </c>
      <c r="J54" s="140"/>
      <c r="K54" s="142"/>
      <c r="L54"/>
      <c r="M54"/>
      <c r="N54"/>
    </row>
    <row r="55" spans="2:22" s="11" customFormat="1" ht="15">
      <c r="J55"/>
      <c r="K55" s="142"/>
      <c r="L55"/>
      <c r="M55"/>
      <c r="N55"/>
    </row>
    <row r="56" spans="2:22" s="11" customFormat="1" ht="15">
      <c r="B56"/>
      <c r="C56"/>
      <c r="D56"/>
      <c r="E56" s="140"/>
      <c r="F56" s="140"/>
      <c r="G56" s="140"/>
      <c r="H56" s="140"/>
      <c r="I56" s="140"/>
      <c r="J56"/>
      <c r="K56" s="142"/>
      <c r="L56"/>
      <c r="M56"/>
      <c r="N56"/>
    </row>
    <row r="57" spans="2:22" s="11" customFormat="1" ht="26.25">
      <c r="B57" s="103" t="s">
        <v>238</v>
      </c>
      <c r="C57" s="10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</row>
    <row r="58" spans="2:22" s="11" customFormat="1" ht="15"/>
    <row r="59" spans="2:22" s="11" customFormat="1" ht="15"/>
    <row r="60" spans="2:22" s="11" customFormat="1" ht="15">
      <c r="E60" s="143"/>
      <c r="P60" s="156"/>
      <c r="Q60" s="156"/>
      <c r="R60"/>
    </row>
    <row r="61" spans="2:22" s="11" customFormat="1" ht="15">
      <c r="B61" s="316" t="s">
        <v>205</v>
      </c>
      <c r="C61" s="316"/>
      <c r="D61" s="143"/>
      <c r="E61" s="143" t="s">
        <v>193</v>
      </c>
      <c r="G61" s="156"/>
      <c r="H61" s="156"/>
      <c r="I61" s="393" t="s">
        <v>136</v>
      </c>
      <c r="J61" s="393"/>
      <c r="K61" s="393"/>
      <c r="L61" s="169"/>
      <c r="M61" s="147"/>
      <c r="N61" s="157"/>
      <c r="O61"/>
      <c r="P61" s="156"/>
      <c r="Q61"/>
      <c r="R61" s="169"/>
      <c r="S61"/>
    </row>
    <row r="62" spans="2:22" s="11" customFormat="1" ht="15">
      <c r="B62"/>
      <c r="C62"/>
      <c r="D62" s="143"/>
      <c r="E62" s="143"/>
      <c r="G62" s="156"/>
      <c r="H62" s="156" t="s">
        <v>196</v>
      </c>
      <c r="I62" s="156"/>
      <c r="J62" s="156" t="s">
        <v>132</v>
      </c>
      <c r="K62" s="169"/>
      <c r="L62" s="169"/>
      <c r="M62" s="147"/>
      <c r="N62" s="157"/>
      <c r="O62"/>
      <c r="P62" s="156"/>
      <c r="Q62"/>
      <c r="R62" s="169"/>
      <c r="S62"/>
    </row>
    <row r="63" spans="2:22" s="11" customFormat="1" ht="15">
      <c r="B63" t="s">
        <v>138</v>
      </c>
      <c r="C63"/>
      <c r="D63" t="s">
        <v>133</v>
      </c>
      <c r="E63" s="148" t="s">
        <v>192</v>
      </c>
      <c r="F63" s="153" t="s">
        <v>137</v>
      </c>
      <c r="G63" s="148"/>
      <c r="H63" t="s">
        <v>137</v>
      </c>
      <c r="I63"/>
      <c r="J63" s="274" t="s">
        <v>137</v>
      </c>
      <c r="K63"/>
      <c r="M63"/>
    </row>
    <row r="64" spans="2:22" s="11" customFormat="1" ht="15">
      <c r="B64"/>
      <c r="C64"/>
      <c r="D64" s="148"/>
      <c r="E64" s="263">
        <f>CPI!C10</f>
        <v>98</v>
      </c>
      <c r="F64" s="264">
        <f>CPI!F2</f>
        <v>101.7</v>
      </c>
      <c r="G64" s="272"/>
      <c r="H64" s="148">
        <v>101.7</v>
      </c>
      <c r="I64" s="148"/>
      <c r="J64"/>
      <c r="K64"/>
      <c r="M64"/>
    </row>
    <row r="65" spans="1:42" s="11" customFormat="1" ht="15">
      <c r="B65"/>
      <c r="C65"/>
      <c r="D65"/>
      <c r="E65" s="263"/>
      <c r="F65" s="246"/>
      <c r="G65" s="9"/>
      <c r="H65"/>
      <c r="I65"/>
      <c r="J65"/>
      <c r="K65"/>
      <c r="M65"/>
    </row>
    <row r="66" spans="1:42" s="11" customFormat="1" ht="15">
      <c r="B66" s="143" t="s">
        <v>29</v>
      </c>
      <c r="C66" s="143"/>
      <c r="D66" s="268">
        <v>20</v>
      </c>
      <c r="E66" s="269">
        <v>44000000</v>
      </c>
      <c r="F66" s="261">
        <f>E66*F64/E64</f>
        <v>45661224.489795916</v>
      </c>
      <c r="G66"/>
      <c r="H66" s="283">
        <f>'IAA submission'!M95*1000</f>
        <v>1603141.6652486429</v>
      </c>
      <c r="I66" s="165"/>
      <c r="J66" s="276">
        <v>0</v>
      </c>
      <c r="L66" s="105" t="s">
        <v>139</v>
      </c>
    </row>
    <row r="67" spans="1:42" s="11" customFormat="1" ht="15">
      <c r="B67" s="260" t="s">
        <v>30</v>
      </c>
      <c r="C67" s="16"/>
      <c r="D67" s="268">
        <v>20</v>
      </c>
      <c r="E67" s="269">
        <v>10500000</v>
      </c>
      <c r="F67" s="262">
        <f>E67*F66/E66</f>
        <v>10896428.571428571</v>
      </c>
      <c r="G67" s="150"/>
      <c r="H67" s="283">
        <f>'IAA submission'!M94*1000</f>
        <v>5395285.9680336453</v>
      </c>
      <c r="I67" s="165"/>
      <c r="J67" s="167">
        <f>IF(L71="y",F67,H67)</f>
        <v>5395285.9680336453</v>
      </c>
      <c r="L67" s="105" t="s">
        <v>140</v>
      </c>
    </row>
    <row r="68" spans="1:42" s="11" customFormat="1" ht="15">
      <c r="B68" s="152"/>
      <c r="C68" s="152"/>
      <c r="D68" s="240"/>
      <c r="E68" s="241"/>
      <c r="F68" s="155"/>
      <c r="G68" s="150"/>
      <c r="H68" s="166"/>
      <c r="I68" s="166"/>
      <c r="J68" s="166"/>
      <c r="K68" s="166"/>
      <c r="L68" s="166"/>
      <c r="M68" s="166"/>
      <c r="N68" s="155"/>
      <c r="O68" s="150"/>
      <c r="P68" s="150"/>
    </row>
    <row r="69" spans="1:42" s="11" customFormat="1" ht="15">
      <c r="B69" s="151"/>
      <c r="C69" s="151"/>
      <c r="D69"/>
      <c r="E69"/>
      <c r="F69" s="155"/>
      <c r="G69" s="150"/>
      <c r="H69" s="155"/>
      <c r="I69" s="155"/>
      <c r="J69" s="155"/>
      <c r="K69" s="155"/>
      <c r="L69" s="155"/>
      <c r="M69" s="155"/>
      <c r="N69" s="155"/>
      <c r="O69" s="150"/>
      <c r="P69" s="150"/>
    </row>
    <row r="70" spans="1:42" s="11" customFormat="1" ht="15">
      <c r="A70" s="14"/>
      <c r="B70" s="151"/>
      <c r="C70" s="151"/>
      <c r="D70"/>
      <c r="E70"/>
      <c r="F70"/>
      <c r="G70" s="69"/>
      <c r="H70"/>
      <c r="I70"/>
      <c r="J70"/>
      <c r="K70" s="265"/>
      <c r="L70"/>
      <c r="M70"/>
      <c r="N70"/>
      <c r="O70"/>
      <c r="P70"/>
      <c r="Q70"/>
      <c r="S70"/>
    </row>
    <row r="71" spans="1:42" s="11" customFormat="1" ht="15">
      <c r="B71" s="143" t="s">
        <v>141</v>
      </c>
      <c r="C71" s="251"/>
      <c r="D71"/>
      <c r="E71"/>
      <c r="H71" s="275" t="s">
        <v>134</v>
      </c>
      <c r="I71" s="298">
        <f>IF(H71="y",H67-F67,0)</f>
        <v>-5501142.6033949256</v>
      </c>
      <c r="J71" s="266" t="s">
        <v>135</v>
      </c>
      <c r="K71"/>
      <c r="L71" s="155"/>
      <c r="M71"/>
      <c r="N71"/>
    </row>
    <row r="72" spans="1:42" s="11" customFormat="1" ht="15">
      <c r="B72" s="143" t="s">
        <v>249</v>
      </c>
      <c r="C72" s="143"/>
      <c r="D72" s="143"/>
      <c r="E72"/>
      <c r="H72" s="276" t="s">
        <v>199</v>
      </c>
      <c r="I72" s="298">
        <f>IF(H72="y",H68-F68,0)</f>
        <v>0</v>
      </c>
      <c r="J72" s="266" t="s">
        <v>201</v>
      </c>
      <c r="K72"/>
      <c r="L72"/>
      <c r="M72"/>
      <c r="N72"/>
    </row>
    <row r="73" spans="1:42" s="11" customFormat="1" ht="15">
      <c r="B73" s="143"/>
      <c r="C73" s="143"/>
      <c r="D73" s="143"/>
      <c r="E73"/>
      <c r="F73" s="166"/>
      <c r="G73"/>
      <c r="H73" s="285"/>
      <c r="I73"/>
      <c r="J73"/>
      <c r="K73"/>
      <c r="L73" s="285"/>
      <c r="M73"/>
      <c r="N73"/>
    </row>
    <row r="74" spans="1:42" s="11" customFormat="1" ht="15">
      <c r="B74" s="152" t="s">
        <v>188</v>
      </c>
      <c r="C74" s="152"/>
      <c r="D74" s="253">
        <v>40106</v>
      </c>
      <c r="E74"/>
      <c r="F74" s="155"/>
      <c r="G74" s="155"/>
      <c r="H74"/>
      <c r="I74"/>
      <c r="J74"/>
      <c r="K74"/>
      <c r="L74" s="153"/>
      <c r="M74"/>
      <c r="N74" s="10"/>
    </row>
    <row r="75" spans="1:42" s="11" customFormat="1" ht="15">
      <c r="B75" s="252" t="s">
        <v>189</v>
      </c>
      <c r="C75" s="152"/>
      <c r="D75" s="267">
        <v>40179</v>
      </c>
      <c r="E75"/>
      <c r="F75" s="151"/>
      <c r="G75"/>
      <c r="H75"/>
      <c r="I75"/>
      <c r="J75"/>
      <c r="K75" s="149"/>
      <c r="L75" s="153"/>
      <c r="M75"/>
      <c r="N75"/>
      <c r="O75" s="145"/>
    </row>
    <row r="76" spans="1:42" s="11" customFormat="1" ht="15">
      <c r="B76" s="252" t="s">
        <v>191</v>
      </c>
      <c r="C76" s="252"/>
      <c r="D76" s="254">
        <f>D75-D74</f>
        <v>73</v>
      </c>
      <c r="E76"/>
      <c r="F76" s="151"/>
      <c r="G76"/>
      <c r="H76"/>
      <c r="I76"/>
      <c r="J76"/>
      <c r="K76" s="149"/>
      <c r="L76" s="91"/>
      <c r="M76" s="168"/>
      <c r="N76"/>
    </row>
    <row r="77" spans="1:42" s="11" customFormat="1" ht="15">
      <c r="B77" s="252" t="s">
        <v>190</v>
      </c>
      <c r="C77" s="252"/>
      <c r="D77" s="255">
        <f>(1+0.062)^(D76/365)-1</f>
        <v>1.2103445549745739E-2</v>
      </c>
      <c r="E77"/>
      <c r="F77" s="151"/>
      <c r="G77"/>
      <c r="H77"/>
      <c r="I77"/>
      <c r="J77"/>
      <c r="K77" s="149"/>
      <c r="L77" s="91"/>
      <c r="M77"/>
      <c r="N77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L77" s="134"/>
      <c r="AM77" s="134"/>
      <c r="AN77" s="134"/>
      <c r="AO77" s="134"/>
      <c r="AP77" s="134"/>
    </row>
    <row r="78" spans="1:42" s="11" customFormat="1" ht="15">
      <c r="B78" s="152"/>
      <c r="C78" s="252"/>
      <c r="E78" s="247"/>
      <c r="F78" s="251"/>
      <c r="G78"/>
      <c r="H78"/>
      <c r="I78"/>
      <c r="J78"/>
      <c r="K78" s="149"/>
      <c r="L78" s="153"/>
      <c r="M78"/>
      <c r="N78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L78" s="134"/>
      <c r="AM78" s="134"/>
      <c r="AN78" s="134"/>
      <c r="AO78" s="134"/>
      <c r="AP78" s="134"/>
    </row>
    <row r="79" spans="1:42" s="11" customFormat="1" ht="15">
      <c r="B79" s="317" t="s">
        <v>250</v>
      </c>
      <c r="C79" s="314"/>
      <c r="D79" s="315"/>
      <c r="E79" s="315"/>
      <c r="F79" s="315"/>
      <c r="G79" s="315"/>
      <c r="H79" s="315"/>
      <c r="I79" s="315"/>
      <c r="J79" s="297"/>
      <c r="K79" s="149"/>
      <c r="L79" s="91"/>
      <c r="M79" s="168"/>
      <c r="N79"/>
      <c r="AL79" s="134"/>
      <c r="AM79" s="134"/>
      <c r="AN79" s="134"/>
      <c r="AO79" s="134"/>
      <c r="AP79" s="134"/>
    </row>
    <row r="80" spans="1:42" s="11" customFormat="1" ht="15">
      <c r="B80" s="143" t="s">
        <v>30</v>
      </c>
      <c r="C80" s="152" t="s">
        <v>217</v>
      </c>
      <c r="D80" s="11" t="s">
        <v>137</v>
      </c>
      <c r="E80" s="105">
        <f>'Future capex and depreciation'!E39</f>
        <v>2007</v>
      </c>
      <c r="F80" s="105">
        <f>'Future capex and depreciation'!F39</f>
        <v>2008</v>
      </c>
      <c r="G80" s="105">
        <f>'Future capex and depreciation'!G39</f>
        <v>2009</v>
      </c>
      <c r="H80" s="105">
        <f>'Future capex and depreciation'!H39</f>
        <v>2010</v>
      </c>
      <c r="I80" s="105">
        <f>'Future capex and depreciation'!I39</f>
        <v>2011</v>
      </c>
      <c r="J80" s="353">
        <f>'Future capex and depreciation'!J39</f>
        <v>2012</v>
      </c>
      <c r="K80" s="353"/>
      <c r="L80" s="353"/>
      <c r="M80" s="353"/>
      <c r="N80" s="353"/>
      <c r="O80" s="353"/>
      <c r="P80" s="353"/>
      <c r="Q80" s="353"/>
      <c r="R80" s="353"/>
      <c r="S80" s="353"/>
      <c r="T80" s="353"/>
      <c r="U80" s="353"/>
      <c r="V80" s="353"/>
      <c r="W80" s="353"/>
      <c r="X80" s="353"/>
      <c r="Y80" s="353"/>
      <c r="Z80" s="353"/>
      <c r="AA80" s="353"/>
      <c r="AB80" s="299"/>
      <c r="AC80" s="299"/>
      <c r="AD80" s="299"/>
      <c r="AE80" s="309"/>
      <c r="AF80" s="309"/>
      <c r="AG80" s="309"/>
      <c r="AH80" s="309"/>
      <c r="AI80" s="134"/>
      <c r="AJ80" s="134"/>
      <c r="AL80" s="134"/>
      <c r="AM80" s="134"/>
      <c r="AN80" s="134"/>
      <c r="AO80" s="134"/>
      <c r="AP80" s="134"/>
    </row>
    <row r="81" spans="1:42" s="11" customFormat="1" ht="15">
      <c r="B81" s="152" t="s">
        <v>202</v>
      </c>
      <c r="C81" s="269">
        <v>1145000</v>
      </c>
      <c r="D81" s="261">
        <f>C81*F64/E64</f>
        <v>1188229.5918367347</v>
      </c>
      <c r="E81" s="105"/>
      <c r="F81" s="105"/>
      <c r="G81" s="382">
        <f>D76/365*D81</f>
        <v>237645.91836734695</v>
      </c>
      <c r="H81" s="383">
        <f>D81+(D81-G81)</f>
        <v>2138813.2653061226</v>
      </c>
      <c r="I81" s="383">
        <f>D81</f>
        <v>1188229.5918367347</v>
      </c>
      <c r="J81" s="69"/>
      <c r="K81" s="149"/>
      <c r="L81" s="354"/>
      <c r="M81" s="69"/>
      <c r="N81" s="353"/>
      <c r="O81" s="353"/>
      <c r="P81" s="353"/>
      <c r="Q81" s="353"/>
      <c r="R81" s="353"/>
      <c r="S81" s="353"/>
      <c r="T81" s="353"/>
      <c r="U81" s="353"/>
      <c r="V81" s="353"/>
      <c r="W81" s="353"/>
      <c r="X81" s="353"/>
      <c r="Y81" s="353"/>
      <c r="Z81" s="353"/>
      <c r="AA81" s="353"/>
      <c r="AB81" s="299"/>
      <c r="AC81" s="299"/>
      <c r="AD81" s="299"/>
      <c r="AE81" s="309"/>
      <c r="AF81" s="309"/>
      <c r="AG81" s="309"/>
      <c r="AH81" s="309"/>
      <c r="AI81" s="134"/>
      <c r="AJ81" s="134"/>
      <c r="AL81" s="134"/>
      <c r="AM81" s="134"/>
      <c r="AN81" s="134"/>
      <c r="AO81" s="134"/>
      <c r="AP81" s="134"/>
    </row>
    <row r="82" spans="1:42" s="11" customFormat="1" ht="15">
      <c r="B82" s="152"/>
      <c r="C82" s="152"/>
      <c r="E82" s="105"/>
      <c r="F82" s="105"/>
      <c r="G82" s="105"/>
      <c r="H82" s="105"/>
      <c r="I82" s="105"/>
      <c r="J82"/>
      <c r="K82" s="149"/>
      <c r="L82"/>
      <c r="M82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E82" s="134"/>
      <c r="AF82" s="134"/>
      <c r="AG82" s="134"/>
      <c r="AH82" s="134"/>
      <c r="AI82" s="134"/>
      <c r="AJ82" s="134"/>
      <c r="AL82" s="134"/>
      <c r="AM82" s="134"/>
      <c r="AN82" s="134"/>
      <c r="AO82" s="134"/>
      <c r="AP82" s="134"/>
    </row>
    <row r="83" spans="1:42" s="11" customFormat="1" ht="15">
      <c r="B83" s="152"/>
      <c r="C83" s="152"/>
      <c r="E83" s="247"/>
      <c r="F83" s="251"/>
      <c r="G83" s="144"/>
      <c r="H83"/>
      <c r="I83"/>
      <c r="J83"/>
      <c r="K83" s="149"/>
      <c r="L83" s="153"/>
      <c r="M83"/>
      <c r="N83"/>
      <c r="O83" s="91"/>
      <c r="P83" s="168"/>
      <c r="Q83" s="168"/>
      <c r="R83" s="168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L83" s="134"/>
      <c r="AM83" s="134"/>
      <c r="AN83" s="134"/>
      <c r="AO83" s="134"/>
      <c r="AP83" s="134"/>
    </row>
    <row r="84" spans="1:42" s="11" customFormat="1" ht="15">
      <c r="B84" s="11" t="s">
        <v>4</v>
      </c>
      <c r="G84" s="144">
        <v>0</v>
      </c>
      <c r="H84" s="4">
        <f>G89</f>
        <v>10789191.27155897</v>
      </c>
      <c r="I84" s="4">
        <f>H89</f>
        <v>9253004.6538650133</v>
      </c>
      <c r="J84" s="4">
        <f>I89+I71</f>
        <v>3100483.6298260447</v>
      </c>
      <c r="AJ84" s="134"/>
      <c r="AL84" s="134"/>
      <c r="AM84" s="134"/>
      <c r="AN84" s="134"/>
      <c r="AO84" s="134"/>
      <c r="AP84" s="134"/>
    </row>
    <row r="85" spans="1:42" s="11" customFormat="1" ht="15">
      <c r="B85" s="11" t="s">
        <v>3</v>
      </c>
      <c r="G85" s="294">
        <f>F67</f>
        <v>10896428.571428571</v>
      </c>
      <c r="H85" s="11">
        <v>0</v>
      </c>
      <c r="I85" s="11">
        <v>0</v>
      </c>
      <c r="AJ85" s="134"/>
      <c r="AL85" s="134"/>
      <c r="AM85" s="134"/>
      <c r="AN85" s="134"/>
      <c r="AO85" s="134"/>
      <c r="AP85" s="134"/>
    </row>
    <row r="86" spans="1:42" s="11" customFormat="1" ht="15">
      <c r="B86" s="11" t="s">
        <v>31</v>
      </c>
      <c r="G86" s="168">
        <f>(1+G91/2)*G88-0.0121*G85</f>
        <v>107237.29986960051</v>
      </c>
      <c r="H86" s="168">
        <f>(1+H91/2)*H88-0.062*H84</f>
        <v>1536186.6176939562</v>
      </c>
      <c r="I86" s="168">
        <f>(1+I91/2)*I88-0.062*I84</f>
        <v>651378.42064404255</v>
      </c>
      <c r="J86" s="168"/>
      <c r="K86" s="134">
        <f>SUM(G86:I86)</f>
        <v>2294802.3382075992</v>
      </c>
      <c r="AJ86" s="134"/>
      <c r="AL86" s="134"/>
      <c r="AM86" s="134"/>
      <c r="AN86" s="134"/>
      <c r="AO86" s="134"/>
      <c r="AP86" s="134"/>
    </row>
    <row r="87" spans="1:42" s="11" customFormat="1" ht="15">
      <c r="B87" s="11" t="s">
        <v>41</v>
      </c>
      <c r="G87" s="134">
        <f>G88-G86</f>
        <v>130408.61849774644</v>
      </c>
      <c r="H87" s="134">
        <f>H88-H86</f>
        <v>602626.64761216636</v>
      </c>
      <c r="I87" s="134">
        <f>I88-I86</f>
        <v>536851.17119269213</v>
      </c>
      <c r="AJ87" s="134"/>
      <c r="AL87" s="134"/>
      <c r="AM87" s="134"/>
      <c r="AN87" s="134"/>
      <c r="AO87" s="134"/>
      <c r="AP87" s="134"/>
    </row>
    <row r="88" spans="1:42" s="11" customFormat="1" ht="15">
      <c r="B88" s="11" t="s">
        <v>180</v>
      </c>
      <c r="G88" s="383">
        <f>G81</f>
        <v>237645.91836734695</v>
      </c>
      <c r="H88" s="309">
        <f>H81</f>
        <v>2138813.2653061226</v>
      </c>
      <c r="I88" s="309">
        <f>I81</f>
        <v>1188229.5918367347</v>
      </c>
      <c r="AJ88" s="134"/>
      <c r="AL88" s="134"/>
      <c r="AM88" s="134"/>
      <c r="AN88" s="134"/>
      <c r="AO88" s="134"/>
      <c r="AP88" s="134"/>
    </row>
    <row r="89" spans="1:42" s="11" customFormat="1" ht="15">
      <c r="A89" s="134"/>
      <c r="B89" s="11" t="s">
        <v>1</v>
      </c>
      <c r="G89" s="168">
        <f>G84+G85-G86</f>
        <v>10789191.27155897</v>
      </c>
      <c r="H89" s="168">
        <f>H84+H85-H86</f>
        <v>9253004.6538650133</v>
      </c>
      <c r="I89" s="168">
        <f>I84+I85-I86</f>
        <v>8601626.2332209703</v>
      </c>
      <c r="AJ89" s="134"/>
      <c r="AL89" s="134"/>
      <c r="AM89" s="134"/>
      <c r="AN89" s="134"/>
      <c r="AO89" s="134"/>
      <c r="AP89" s="134"/>
    </row>
    <row r="90" spans="1:42" s="11" customFormat="1" ht="15">
      <c r="AJ90" s="134"/>
      <c r="AL90" s="134"/>
      <c r="AM90" s="134"/>
      <c r="AN90" s="134"/>
      <c r="AO90" s="134"/>
      <c r="AP90" s="134"/>
    </row>
    <row r="91" spans="1:42" s="11" customFormat="1" ht="15">
      <c r="G91" s="384">
        <f>D77</f>
        <v>1.2103445549745739E-2</v>
      </c>
      <c r="H91" s="385">
        <v>6.2E-2</v>
      </c>
      <c r="I91" s="306">
        <f>H91</f>
        <v>6.2E-2</v>
      </c>
      <c r="AJ91" s="134"/>
      <c r="AL91" s="134"/>
      <c r="AM91" s="134"/>
      <c r="AN91" s="134"/>
      <c r="AO91" s="134"/>
      <c r="AP91" s="134"/>
    </row>
    <row r="92" spans="1:42" s="11" customFormat="1" ht="15">
      <c r="AJ92" s="134"/>
      <c r="AL92" s="134"/>
      <c r="AM92" s="134"/>
      <c r="AN92" s="134"/>
      <c r="AO92" s="134"/>
      <c r="AP92" s="134"/>
    </row>
    <row r="93" spans="1:42" s="11" customFormat="1" ht="15">
      <c r="B93" s="143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AJ93" s="134"/>
      <c r="AL93" s="134"/>
      <c r="AM93" s="134"/>
      <c r="AN93" s="134"/>
      <c r="AO93" s="134"/>
      <c r="AP93" s="134"/>
    </row>
    <row r="94" spans="1:42" s="11" customFormat="1" ht="15">
      <c r="B94" s="328"/>
      <c r="AJ94" s="134"/>
      <c r="AL94" s="134"/>
      <c r="AM94" s="134"/>
      <c r="AN94" s="134"/>
      <c r="AO94" s="134"/>
      <c r="AP94" s="134"/>
    </row>
    <row r="95" spans="1:42" s="11" customFormat="1" ht="15">
      <c r="B95" s="152"/>
      <c r="AJ95" s="134"/>
      <c r="AL95" s="134"/>
      <c r="AM95" s="134"/>
      <c r="AN95" s="134"/>
      <c r="AO95" s="134"/>
      <c r="AP95" s="134"/>
    </row>
    <row r="96" spans="1:42" s="11" customFormat="1" ht="15"/>
    <row r="97" s="11" customFormat="1" ht="15"/>
    <row r="98" s="11" customFormat="1" ht="15"/>
    <row r="99" s="11" customFormat="1" ht="15"/>
    <row r="100" s="11" customFormat="1" ht="15"/>
    <row r="101" s="11" customFormat="1" ht="15"/>
    <row r="102" s="11" customFormat="1" ht="15"/>
    <row r="103" s="11" customFormat="1" ht="15"/>
    <row r="104" s="11" customFormat="1" ht="15"/>
    <row r="105" s="11" customFormat="1" ht="15"/>
    <row r="106" s="11" customFormat="1" ht="15"/>
    <row r="107" s="11" customFormat="1" ht="15"/>
    <row r="108" s="11" customFormat="1" ht="15"/>
    <row r="109" s="11" customFormat="1" ht="15"/>
    <row r="110" s="11" customFormat="1" ht="15"/>
    <row r="111" s="11" customFormat="1" ht="15"/>
    <row r="112" s="11" customFormat="1" ht="15"/>
    <row r="113" s="11" customFormat="1" ht="15"/>
    <row r="114" s="11" customFormat="1" ht="15"/>
    <row r="115" s="11" customFormat="1" ht="15"/>
    <row r="116" s="11" customFormat="1" ht="15"/>
    <row r="117" s="11" customFormat="1" ht="15"/>
    <row r="118" s="11" customFormat="1" ht="15"/>
    <row r="119" s="11" customFormat="1" ht="15"/>
    <row r="120" s="11" customFormat="1" ht="15"/>
    <row r="121" s="11" customFormat="1" ht="15"/>
    <row r="122" s="11" customFormat="1" ht="15"/>
    <row r="123" s="11" customFormat="1" ht="15"/>
    <row r="124" s="11" customFormat="1" ht="15"/>
    <row r="125" s="11" customFormat="1" ht="15"/>
    <row r="126" s="11" customFormat="1" ht="15"/>
    <row r="127" s="11" customFormat="1" ht="15"/>
    <row r="128" s="11" customFormat="1" ht="15"/>
    <row r="129" s="11" customFormat="1" ht="15"/>
    <row r="130" s="11" customFormat="1" ht="15"/>
    <row r="131" s="11" customFormat="1" ht="15"/>
    <row r="132" s="11" customFormat="1" ht="15"/>
    <row r="133" s="11" customFormat="1" ht="15"/>
    <row r="134" s="11" customFormat="1" ht="15"/>
    <row r="135" s="11" customFormat="1" ht="15"/>
    <row r="136" s="11" customFormat="1" ht="15"/>
    <row r="137" s="11" customFormat="1" ht="15"/>
    <row r="138" s="11" customFormat="1" ht="15"/>
    <row r="139" s="11" customFormat="1" ht="15"/>
    <row r="140" s="11" customFormat="1" ht="15"/>
    <row r="141" s="11" customFormat="1" ht="15"/>
    <row r="142" s="11" customFormat="1" ht="15"/>
    <row r="143" s="11" customFormat="1" ht="15"/>
    <row r="144" s="11" customFormat="1" ht="15"/>
    <row r="145" s="11" customFormat="1" ht="15"/>
    <row r="146" s="11" customFormat="1" ht="15"/>
    <row r="147" s="11" customFormat="1" ht="15"/>
    <row r="148" s="11" customFormat="1" ht="15"/>
    <row r="149" s="11" customFormat="1" ht="15"/>
    <row r="150" s="11" customFormat="1" ht="15"/>
    <row r="151" s="11" customFormat="1" ht="15"/>
    <row r="152" s="11" customFormat="1" ht="15"/>
    <row r="153" s="11" customFormat="1" ht="15"/>
    <row r="154" s="11" customFormat="1" ht="15"/>
    <row r="155" s="11" customFormat="1" ht="15"/>
    <row r="156" s="11" customFormat="1" ht="15"/>
    <row r="157" s="11" customFormat="1" ht="15"/>
    <row r="158" s="11" customFormat="1" ht="15"/>
    <row r="159" s="11" customFormat="1" ht="15"/>
    <row r="160" s="11" customFormat="1" ht="15"/>
    <row r="161" s="11" customFormat="1" ht="15"/>
    <row r="162" s="11" customFormat="1" ht="15"/>
    <row r="163" s="11" customFormat="1" ht="15"/>
    <row r="164" s="11" customFormat="1" ht="15"/>
    <row r="165" s="11" customFormat="1" ht="15"/>
    <row r="166" s="11" customFormat="1" ht="15"/>
    <row r="167" s="11" customFormat="1" ht="15"/>
    <row r="168" s="11" customFormat="1" ht="15"/>
    <row r="169" s="11" customFormat="1" ht="15"/>
    <row r="170" s="11" customFormat="1" ht="15"/>
    <row r="171" s="11" customFormat="1" ht="15"/>
    <row r="172" s="11" customFormat="1" ht="15"/>
    <row r="173" s="11" customFormat="1" ht="15"/>
    <row r="174" s="11" customFormat="1" ht="15"/>
    <row r="175" s="11" customFormat="1" ht="15"/>
    <row r="176" s="11" customFormat="1" ht="15"/>
    <row r="177" s="11" customFormat="1" ht="15"/>
    <row r="178" s="11" customFormat="1" ht="15"/>
    <row r="179" s="11" customFormat="1" ht="15"/>
    <row r="180" s="11" customFormat="1" ht="15"/>
    <row r="181" s="11" customFormat="1" ht="15"/>
    <row r="182" s="11" customFormat="1" ht="15"/>
    <row r="183" s="11" customFormat="1" ht="15"/>
    <row r="184" s="11" customFormat="1" ht="15"/>
    <row r="185" s="11" customFormat="1" ht="15"/>
    <row r="186" s="11" customFormat="1" ht="15"/>
    <row r="187" s="11" customFormat="1" ht="15"/>
    <row r="188" s="11" customFormat="1" ht="15"/>
    <row r="189" s="11" customFormat="1" ht="15"/>
    <row r="190" s="11" customFormat="1" ht="15"/>
    <row r="191" s="11" customFormat="1" ht="15"/>
    <row r="192" s="11" customFormat="1" ht="15"/>
    <row r="193" s="11" customFormat="1" ht="15"/>
    <row r="194" s="11" customFormat="1" ht="15"/>
    <row r="195" s="11" customFormat="1" ht="15"/>
    <row r="196" s="11" customFormat="1" ht="15"/>
    <row r="197" s="11" customFormat="1" ht="15"/>
    <row r="198" s="11" customFormat="1" ht="15"/>
    <row r="199" s="11" customFormat="1" ht="15"/>
    <row r="200" s="11" customFormat="1" ht="15"/>
    <row r="201" s="11" customFormat="1" ht="15"/>
    <row r="202" s="11" customFormat="1" ht="15"/>
    <row r="203" s="11" customFormat="1" ht="15"/>
    <row r="204" s="11" customFormat="1" ht="15"/>
    <row r="205" s="11" customFormat="1" ht="15"/>
    <row r="206" s="11" customFormat="1" ht="15"/>
    <row r="207" s="11" customFormat="1" ht="15"/>
    <row r="208" s="11" customFormat="1" ht="15"/>
    <row r="209" s="11" customFormat="1" ht="15"/>
    <row r="210" s="11" customFormat="1" ht="15"/>
    <row r="211" s="11" customFormat="1" ht="15"/>
    <row r="212" s="11" customFormat="1" ht="15"/>
    <row r="213" s="11" customFormat="1" ht="15"/>
    <row r="214" s="11" customFormat="1" ht="15"/>
    <row r="215" s="11" customFormat="1" ht="15"/>
    <row r="216" s="11" customFormat="1" ht="15"/>
    <row r="217" s="11" customFormat="1" ht="15"/>
    <row r="218" s="11" customFormat="1" ht="15"/>
    <row r="219" s="11" customFormat="1" ht="15"/>
    <row r="220" s="11" customFormat="1" ht="15"/>
    <row r="221" s="11" customFormat="1" ht="15"/>
    <row r="222" s="11" customFormat="1" ht="15"/>
    <row r="223" s="11" customFormat="1" ht="15"/>
    <row r="224" s="11" customFormat="1" ht="15"/>
    <row r="225" s="11" customFormat="1" ht="15"/>
    <row r="226" s="11" customFormat="1" ht="15"/>
    <row r="227" s="11" customFormat="1" ht="15"/>
    <row r="228" s="11" customFormat="1" ht="15"/>
    <row r="229" s="11" customFormat="1" ht="15"/>
    <row r="230" s="11" customFormat="1" ht="15"/>
    <row r="231" s="11" customFormat="1" ht="15"/>
    <row r="232" s="11" customFormat="1" ht="15"/>
    <row r="233" s="11" customFormat="1" ht="15"/>
    <row r="234" s="11" customFormat="1" ht="15"/>
    <row r="235" s="11" customFormat="1" ht="15"/>
    <row r="236" s="11" customFormat="1" ht="15"/>
    <row r="237" s="11" customFormat="1" ht="15"/>
    <row r="238" s="11" customFormat="1" ht="15"/>
    <row r="239" s="11" customFormat="1" ht="15"/>
    <row r="240" s="11" customFormat="1" ht="15"/>
    <row r="241" s="11" customFormat="1" ht="15"/>
    <row r="242" s="11" customFormat="1" ht="15"/>
    <row r="243" s="11" customFormat="1" ht="15"/>
    <row r="244" s="11" customFormat="1" ht="15"/>
    <row r="245" s="11" customFormat="1" ht="15"/>
    <row r="246" s="11" customFormat="1" ht="15"/>
    <row r="247" s="11" customFormat="1" ht="15"/>
    <row r="248" s="11" customFormat="1" ht="15"/>
    <row r="249" s="11" customFormat="1" ht="15"/>
    <row r="250" s="11" customFormat="1" ht="15"/>
    <row r="251" s="11" customFormat="1" ht="15"/>
    <row r="252" s="11" customFormat="1" ht="15"/>
    <row r="253" s="11" customFormat="1" ht="15"/>
    <row r="254" s="11" customFormat="1" ht="15"/>
    <row r="255" s="11" customFormat="1" ht="15"/>
    <row r="256" s="11" customFormat="1" ht="15"/>
    <row r="257" s="11" customFormat="1" ht="15"/>
    <row r="258" s="11" customFormat="1" ht="15"/>
    <row r="259" s="11" customFormat="1" ht="15"/>
    <row r="260" s="11" customFormat="1" ht="15"/>
    <row r="261" s="11" customFormat="1" ht="15"/>
    <row r="262" s="11" customFormat="1" ht="15"/>
    <row r="263" s="11" customFormat="1" ht="15"/>
    <row r="264" s="11" customFormat="1" ht="15"/>
    <row r="265" s="11" customFormat="1" ht="15"/>
    <row r="266" s="11" customFormat="1" ht="15"/>
    <row r="267" s="11" customFormat="1" ht="15"/>
    <row r="268" s="11" customFormat="1" ht="15"/>
    <row r="269" s="11" customFormat="1" ht="15"/>
    <row r="270" s="11" customFormat="1" ht="15"/>
    <row r="271" s="11" customFormat="1" ht="15"/>
    <row r="272" s="11" customFormat="1" ht="15"/>
    <row r="273" s="11" customFormat="1" ht="15"/>
    <row r="274" s="11" customFormat="1" ht="15"/>
    <row r="275" s="11" customFormat="1" ht="15"/>
    <row r="276" s="11" customFormat="1" ht="15"/>
    <row r="277" s="11" customFormat="1" ht="15"/>
    <row r="278" s="11" customFormat="1" ht="15"/>
    <row r="279" s="11" customFormat="1" ht="15"/>
    <row r="280" s="11" customFormat="1" ht="15"/>
    <row r="281" s="11" customFormat="1" ht="15"/>
    <row r="282" s="11" customFormat="1" ht="15"/>
    <row r="283" s="11" customFormat="1" ht="15"/>
    <row r="284" s="11" customFormat="1" ht="15"/>
    <row r="285" s="11" customFormat="1" ht="15"/>
    <row r="286" s="11" customFormat="1" ht="15"/>
    <row r="287" s="11" customFormat="1" ht="15"/>
    <row r="288" s="11" customFormat="1" ht="15"/>
    <row r="289" s="11" customFormat="1" ht="15"/>
    <row r="290" s="11" customFormat="1" ht="15"/>
    <row r="291" s="11" customFormat="1" ht="15"/>
    <row r="292" s="11" customFormat="1" ht="15"/>
    <row r="293" s="11" customFormat="1" ht="15"/>
    <row r="294" s="11" customFormat="1" ht="15"/>
    <row r="295" s="11" customFormat="1" ht="15"/>
    <row r="296" s="11" customFormat="1" ht="15"/>
    <row r="297" s="11" customFormat="1" ht="15"/>
    <row r="298" s="11" customFormat="1" ht="15"/>
    <row r="299" s="11" customFormat="1" ht="15"/>
    <row r="300" s="11" customFormat="1" ht="15"/>
    <row r="301" s="11" customFormat="1" ht="15"/>
    <row r="302" s="11" customFormat="1" ht="15"/>
    <row r="303" s="11" customFormat="1" ht="15"/>
    <row r="304" s="11" customFormat="1" ht="15"/>
    <row r="305" s="11" customFormat="1" ht="15"/>
    <row r="306" s="11" customFormat="1" ht="15"/>
    <row r="307" s="11" customFormat="1" ht="15"/>
    <row r="308" s="11" customFormat="1" ht="15"/>
    <row r="309" s="11" customFormat="1" ht="15"/>
    <row r="310" s="11" customFormat="1" ht="15"/>
    <row r="311" s="11" customFormat="1" ht="15"/>
    <row r="312" s="11" customFormat="1" ht="15"/>
    <row r="313" s="11" customFormat="1" ht="15"/>
    <row r="314" s="11" customFormat="1" ht="15"/>
    <row r="315" s="11" customFormat="1" ht="15"/>
    <row r="316" s="11" customFormat="1" ht="15"/>
    <row r="317" s="11" customFormat="1" ht="15"/>
    <row r="318" s="11" customFormat="1" ht="15"/>
    <row r="319" s="11" customFormat="1" ht="15"/>
    <row r="320" s="11" customFormat="1" ht="15"/>
    <row r="321" s="11" customFormat="1" ht="15"/>
    <row r="322" s="11" customFormat="1" ht="15"/>
    <row r="323" s="11" customFormat="1" ht="15"/>
    <row r="324" s="11" customFormat="1" ht="15"/>
    <row r="325" s="11" customFormat="1" ht="15"/>
    <row r="326" s="11" customFormat="1" ht="15"/>
    <row r="327" s="11" customFormat="1" ht="15"/>
    <row r="328" s="11" customFormat="1" ht="15"/>
    <row r="329" s="11" customFormat="1" ht="15"/>
    <row r="330" s="11" customFormat="1" ht="15"/>
    <row r="331" s="11" customFormat="1" ht="15"/>
    <row r="332" s="11" customFormat="1" ht="15"/>
    <row r="333" s="11" customFormat="1" ht="15"/>
    <row r="334" s="11" customFormat="1" ht="15"/>
    <row r="335" s="11" customFormat="1" ht="15"/>
    <row r="336" s="11" customFormat="1" ht="15"/>
    <row r="337" s="11" customFormat="1" ht="15"/>
    <row r="338" s="11" customFormat="1" ht="15"/>
    <row r="339" s="11" customFormat="1" ht="15"/>
    <row r="340" s="11" customFormat="1" ht="15"/>
    <row r="341" s="11" customFormat="1" ht="15"/>
    <row r="342" s="11" customFormat="1" ht="15"/>
    <row r="343" s="11" customFormat="1" ht="15"/>
    <row r="344" s="11" customFormat="1" ht="15"/>
    <row r="345" s="11" customFormat="1" ht="15"/>
    <row r="346" s="11" customFormat="1" ht="15"/>
    <row r="347" s="11" customFormat="1" ht="15"/>
    <row r="348" s="11" customFormat="1" ht="15"/>
    <row r="349" s="11" customFormat="1" ht="15"/>
    <row r="350" s="11" customFormat="1" ht="15"/>
    <row r="351" s="11" customFormat="1" ht="15"/>
    <row r="352" s="11" customFormat="1" ht="15"/>
    <row r="353" s="11" customFormat="1" ht="15"/>
    <row r="354" s="11" customFormat="1" ht="15"/>
    <row r="355" s="11" customFormat="1" ht="15"/>
    <row r="356" s="11" customFormat="1" ht="15"/>
    <row r="357" s="11" customFormat="1" ht="15"/>
    <row r="358" s="11" customFormat="1" ht="15"/>
    <row r="359" s="11" customFormat="1" ht="15"/>
    <row r="360" s="11" customFormat="1" ht="15"/>
    <row r="361" s="11" customFormat="1" ht="15"/>
    <row r="362" s="11" customFormat="1" ht="15"/>
    <row r="363" s="11" customFormat="1" ht="15"/>
    <row r="364" s="11" customFormat="1" ht="15"/>
    <row r="365" s="11" customFormat="1" ht="15"/>
    <row r="366" s="11" customFormat="1" ht="15"/>
    <row r="367" s="11" customFormat="1" ht="15"/>
    <row r="368" s="11" customFormat="1" ht="15"/>
    <row r="369" s="11" customFormat="1" ht="15"/>
    <row r="370" s="11" customFormat="1" ht="15"/>
    <row r="371" s="11" customFormat="1" ht="15"/>
    <row r="372" s="11" customFormat="1" ht="15"/>
    <row r="373" s="11" customFormat="1" ht="15"/>
    <row r="374" s="11" customFormat="1" ht="15"/>
    <row r="375" s="11" customFormat="1" ht="15"/>
    <row r="376" s="11" customFormat="1" ht="15"/>
    <row r="377" s="11" customFormat="1" ht="15"/>
    <row r="378" s="11" customFormat="1" ht="15"/>
    <row r="379" s="11" customFormat="1" ht="15"/>
    <row r="380" s="11" customFormat="1" ht="15"/>
    <row r="381" s="11" customFormat="1" ht="15"/>
    <row r="382" s="11" customFormat="1" ht="15"/>
    <row r="383" s="11" customFormat="1" ht="15"/>
    <row r="384" s="11" customFormat="1" ht="15"/>
    <row r="385" s="11" customFormat="1" ht="15"/>
    <row r="386" s="11" customFormat="1" ht="15"/>
    <row r="387" s="11" customFormat="1" ht="15"/>
    <row r="388" s="11" customFormat="1" ht="15"/>
    <row r="389" s="11" customFormat="1" ht="15"/>
    <row r="390" s="11" customFormat="1" ht="15"/>
    <row r="391" s="11" customFormat="1" ht="15"/>
    <row r="392" s="11" customFormat="1" ht="15"/>
    <row r="393" s="11" customFormat="1" ht="15"/>
    <row r="394" s="11" customFormat="1" ht="15"/>
    <row r="395" s="11" customFormat="1" ht="15"/>
    <row r="396" s="11" customFormat="1" ht="15"/>
    <row r="397" s="11" customFormat="1" ht="15"/>
    <row r="398" s="11" customFormat="1" ht="15"/>
    <row r="399" s="11" customFormat="1" ht="15"/>
    <row r="400" s="11" customFormat="1" ht="15"/>
    <row r="401" s="11" customFormat="1" ht="15"/>
    <row r="402" s="11" customFormat="1" ht="15"/>
    <row r="403" s="11" customFormat="1" ht="15"/>
    <row r="404" s="11" customFormat="1" ht="15"/>
    <row r="405" s="11" customFormat="1" ht="15"/>
    <row r="406" s="11" customFormat="1" ht="15"/>
    <row r="407" s="11" customFormat="1" ht="15"/>
    <row r="408" s="11" customFormat="1" ht="15"/>
    <row r="409" s="11" customFormat="1" ht="15"/>
    <row r="410" s="11" customFormat="1" ht="15"/>
    <row r="411" s="11" customFormat="1" ht="15"/>
    <row r="412" s="11" customFormat="1" ht="15"/>
    <row r="413" s="11" customFormat="1" ht="15"/>
    <row r="414" s="11" customFormat="1" ht="15"/>
    <row r="415" s="11" customFormat="1" ht="15"/>
    <row r="416" s="11" customFormat="1" ht="15"/>
    <row r="417" s="11" customFormat="1" ht="15"/>
    <row r="418" s="11" customFormat="1" ht="15"/>
    <row r="419" s="11" customFormat="1" ht="15"/>
    <row r="420" s="11" customFormat="1" ht="15"/>
    <row r="421" s="11" customFormat="1" ht="15"/>
    <row r="422" s="11" customFormat="1" ht="15"/>
    <row r="423" s="11" customFormat="1" ht="15"/>
    <row r="424" s="11" customFormat="1" ht="15"/>
    <row r="425" s="11" customFormat="1" ht="15"/>
    <row r="426" s="11" customFormat="1" ht="15"/>
    <row r="427" s="11" customFormat="1" ht="15"/>
    <row r="428" s="11" customFormat="1" ht="15"/>
    <row r="429" s="11" customFormat="1" ht="15"/>
    <row r="430" s="11" customFormat="1" ht="15"/>
    <row r="431" s="11" customFormat="1" ht="15"/>
    <row r="432" s="11" customFormat="1" ht="15"/>
    <row r="433" s="11" customFormat="1" ht="15"/>
    <row r="434" s="11" customFormat="1" ht="15"/>
    <row r="435" s="11" customFormat="1" ht="15"/>
    <row r="436" s="11" customFormat="1" ht="15"/>
    <row r="437" s="11" customFormat="1" ht="15"/>
    <row r="438" s="11" customFormat="1" ht="15"/>
    <row r="439" s="11" customFormat="1" ht="15"/>
    <row r="440" s="11" customFormat="1" ht="15"/>
    <row r="441" s="11" customFormat="1" ht="15"/>
    <row r="442" s="11" customFormat="1" ht="15"/>
    <row r="443" s="11" customFormat="1" ht="15"/>
    <row r="444" s="11" customFormat="1" ht="15"/>
    <row r="445" s="11" customFormat="1" ht="15"/>
    <row r="446" s="11" customFormat="1" ht="15"/>
    <row r="447" s="11" customFormat="1" ht="15"/>
    <row r="448" s="11" customFormat="1" ht="15"/>
    <row r="449" s="11" customFormat="1" ht="15"/>
    <row r="450" s="11" customFormat="1" ht="15"/>
    <row r="451" s="11" customFormat="1" ht="15"/>
    <row r="452" s="11" customFormat="1" ht="15"/>
    <row r="453" s="11" customFormat="1" ht="15"/>
    <row r="454" s="11" customFormat="1" ht="15"/>
    <row r="455" s="11" customFormat="1" ht="15"/>
    <row r="456" s="11" customFormat="1" ht="15"/>
    <row r="457" s="11" customFormat="1" ht="15"/>
    <row r="458" s="11" customFormat="1" ht="15"/>
    <row r="459" s="11" customFormat="1" ht="15"/>
    <row r="460" s="11" customFormat="1" ht="15"/>
    <row r="461" s="11" customFormat="1" ht="15"/>
    <row r="462" s="11" customFormat="1" ht="15"/>
    <row r="463" s="11" customFormat="1" ht="15"/>
    <row r="464" s="11" customFormat="1" ht="15"/>
    <row r="465" s="11" customFormat="1" ht="15"/>
    <row r="466" s="11" customFormat="1" ht="15"/>
    <row r="467" s="11" customFormat="1" ht="15"/>
    <row r="468" s="11" customFormat="1" ht="15"/>
    <row r="469" s="11" customFormat="1" ht="15"/>
    <row r="470" s="11" customFormat="1" ht="15"/>
    <row r="471" s="11" customFormat="1" ht="15"/>
    <row r="472" s="11" customFormat="1" ht="15"/>
    <row r="473" s="11" customFormat="1" ht="15"/>
    <row r="474" s="11" customFormat="1" ht="15"/>
    <row r="475" s="11" customFormat="1" ht="15"/>
    <row r="476" s="11" customFormat="1" ht="15"/>
    <row r="477" s="11" customFormat="1" ht="15"/>
    <row r="478" s="11" customFormat="1" ht="15"/>
    <row r="479" s="11" customFormat="1" ht="15"/>
    <row r="480" s="11" customFormat="1" ht="15"/>
    <row r="481" s="11" customFormat="1" ht="15"/>
    <row r="482" s="11" customFormat="1" ht="15"/>
    <row r="483" s="11" customFormat="1" ht="15"/>
    <row r="484" s="11" customFormat="1" ht="15"/>
    <row r="485" s="11" customFormat="1" ht="15"/>
    <row r="486" s="11" customFormat="1" ht="15"/>
    <row r="487" s="11" customFormat="1" ht="15"/>
    <row r="488" s="11" customFormat="1" ht="15"/>
    <row r="489" s="11" customFormat="1" ht="15"/>
    <row r="490" s="11" customFormat="1" ht="15"/>
    <row r="491" s="11" customFormat="1" ht="15"/>
    <row r="492" s="11" customFormat="1" ht="15"/>
    <row r="493" s="11" customFormat="1" ht="15"/>
    <row r="494" s="11" customFormat="1" ht="15"/>
    <row r="495" s="11" customFormat="1" ht="15"/>
    <row r="496" s="11" customFormat="1" ht="15"/>
    <row r="497" s="11" customFormat="1" ht="15"/>
    <row r="498" s="11" customFormat="1" ht="15"/>
    <row r="499" s="11" customFormat="1" ht="15"/>
    <row r="500" s="11" customFormat="1" ht="15"/>
    <row r="501" s="11" customFormat="1" ht="15"/>
    <row r="502" s="11" customFormat="1" ht="15"/>
    <row r="503" s="11" customFormat="1" ht="15"/>
    <row r="504" s="11" customFormat="1" ht="15"/>
    <row r="505" s="11" customFormat="1" ht="15"/>
    <row r="506" s="11" customFormat="1" ht="15"/>
    <row r="507" s="11" customFormat="1" ht="15"/>
    <row r="508" s="11" customFormat="1" ht="15"/>
    <row r="509" s="11" customFormat="1" ht="15"/>
    <row r="510" s="11" customFormat="1" ht="15"/>
    <row r="511" s="11" customFormat="1" ht="15"/>
    <row r="512" s="11" customFormat="1" ht="15"/>
    <row r="513" s="11" customFormat="1" ht="15"/>
    <row r="514" s="11" customFormat="1" ht="15"/>
    <row r="515" s="11" customFormat="1" ht="15"/>
    <row r="516" s="11" customFormat="1" ht="15"/>
    <row r="517" s="11" customFormat="1" ht="15"/>
    <row r="518" s="11" customFormat="1" ht="15"/>
    <row r="519" s="11" customFormat="1" ht="15"/>
    <row r="520" s="11" customFormat="1" ht="15"/>
    <row r="521" s="11" customFormat="1" ht="15"/>
    <row r="522" s="11" customFormat="1" ht="15"/>
    <row r="523" s="11" customFormat="1" ht="15"/>
    <row r="524" s="11" customFormat="1" ht="15"/>
    <row r="525" s="11" customFormat="1" ht="15"/>
    <row r="526" s="11" customFormat="1" ht="15"/>
    <row r="527" s="11" customFormat="1" ht="15"/>
    <row r="528" s="11" customFormat="1" ht="15"/>
    <row r="529" s="11" customFormat="1" ht="15"/>
    <row r="530" s="11" customFormat="1" ht="15"/>
    <row r="531" s="11" customFormat="1" ht="15"/>
    <row r="532" s="11" customFormat="1" ht="15"/>
    <row r="533" s="11" customFormat="1" ht="15"/>
    <row r="534" s="11" customFormat="1" ht="15"/>
    <row r="535" s="11" customFormat="1" ht="15"/>
    <row r="536" s="11" customFormat="1" ht="15"/>
    <row r="537" s="11" customFormat="1" ht="15"/>
    <row r="538" s="11" customFormat="1" ht="15"/>
    <row r="539" s="11" customFormat="1" ht="15"/>
    <row r="540" s="11" customFormat="1" ht="15"/>
    <row r="541" s="11" customFormat="1" ht="15"/>
    <row r="542" s="11" customFormat="1" ht="15"/>
    <row r="543" s="11" customFormat="1" ht="15"/>
    <row r="544" s="11" customFormat="1" ht="15"/>
    <row r="545" s="11" customFormat="1" ht="15"/>
    <row r="546" s="11" customFormat="1" ht="15"/>
    <row r="547" s="11" customFormat="1" ht="15"/>
    <row r="548" s="11" customFormat="1" ht="15"/>
    <row r="549" s="11" customFormat="1" ht="15"/>
    <row r="550" s="11" customFormat="1" ht="15"/>
    <row r="551" s="11" customFormat="1" ht="15"/>
    <row r="552" s="11" customFormat="1" ht="15"/>
    <row r="553" s="11" customFormat="1" ht="15"/>
    <row r="554" s="11" customFormat="1" ht="15"/>
    <row r="555" s="11" customFormat="1" ht="15"/>
    <row r="556" s="11" customFormat="1" ht="15"/>
    <row r="557" s="11" customFormat="1" ht="15"/>
    <row r="558" s="11" customFormat="1" ht="15"/>
    <row r="559" s="11" customFormat="1" ht="15"/>
    <row r="560" s="11" customFormat="1" ht="15"/>
    <row r="561" s="11" customFormat="1" ht="15"/>
    <row r="562" s="11" customFormat="1" ht="15"/>
    <row r="563" s="11" customFormat="1" ht="15"/>
    <row r="564" s="11" customFormat="1" ht="15"/>
    <row r="565" s="11" customFormat="1" ht="15"/>
    <row r="566" s="11" customFormat="1" ht="15"/>
    <row r="567" s="11" customFormat="1" ht="15"/>
    <row r="568" s="11" customFormat="1" ht="15"/>
    <row r="569" s="11" customFormat="1" ht="15"/>
    <row r="570" s="11" customFormat="1" ht="15"/>
    <row r="571" s="11" customFormat="1" ht="15"/>
    <row r="572" s="11" customFormat="1" ht="15"/>
    <row r="573" s="11" customFormat="1" ht="15"/>
    <row r="574" s="11" customFormat="1" ht="15"/>
    <row r="575" s="11" customFormat="1" ht="15"/>
    <row r="576" s="11" customFormat="1" ht="15"/>
    <row r="577" s="11" customFormat="1" ht="15"/>
    <row r="578" s="11" customFormat="1" ht="15"/>
    <row r="579" s="11" customFormat="1" ht="15"/>
    <row r="580" s="11" customFormat="1" ht="15"/>
    <row r="581" s="11" customFormat="1" ht="15"/>
    <row r="582" s="11" customFormat="1" ht="15"/>
    <row r="583" s="11" customFormat="1" ht="15"/>
    <row r="584" s="11" customFormat="1" ht="15"/>
    <row r="585" s="11" customFormat="1" ht="15"/>
    <row r="586" s="11" customFormat="1" ht="15"/>
    <row r="587" s="11" customFormat="1" ht="15"/>
    <row r="588" s="11" customFormat="1" ht="15"/>
    <row r="589" s="11" customFormat="1" ht="15"/>
    <row r="590" s="11" customFormat="1" ht="15"/>
    <row r="591" s="11" customFormat="1" ht="15"/>
    <row r="592" s="11" customFormat="1" ht="15"/>
    <row r="593" s="11" customFormat="1" ht="15"/>
    <row r="594" s="11" customFormat="1" ht="15"/>
    <row r="595" s="11" customFormat="1" ht="15"/>
    <row r="596" s="11" customFormat="1" ht="15"/>
    <row r="597" s="11" customFormat="1" ht="15"/>
    <row r="598" s="11" customFormat="1" ht="15"/>
    <row r="599" s="11" customFormat="1" ht="15"/>
    <row r="600" s="11" customFormat="1" ht="15"/>
    <row r="601" s="11" customFormat="1" ht="15"/>
    <row r="602" s="11" customFormat="1" ht="15"/>
    <row r="603" s="11" customFormat="1" ht="15"/>
    <row r="604" s="11" customFormat="1" ht="15"/>
    <row r="605" s="11" customFormat="1" ht="15"/>
    <row r="606" s="11" customFormat="1" ht="15"/>
    <row r="607" s="11" customFormat="1" ht="15"/>
    <row r="608" s="11" customFormat="1" ht="15"/>
    <row r="609" s="11" customFormat="1" ht="15"/>
    <row r="610" s="11" customFormat="1" ht="15"/>
    <row r="611" s="11" customFormat="1" ht="15"/>
    <row r="612" s="11" customFormat="1" ht="15"/>
    <row r="613" s="11" customFormat="1" ht="15"/>
    <row r="614" s="11" customFormat="1" ht="15"/>
    <row r="615" s="11" customFormat="1" ht="15"/>
    <row r="616" s="11" customFormat="1" ht="15"/>
    <row r="617" s="11" customFormat="1" ht="15"/>
    <row r="618" s="11" customFormat="1" ht="15"/>
    <row r="619" s="11" customFormat="1" ht="15"/>
    <row r="620" s="11" customFormat="1" ht="15"/>
    <row r="621" s="11" customFormat="1" ht="15"/>
    <row r="622" s="11" customFormat="1" ht="15"/>
    <row r="623" s="11" customFormat="1" ht="15"/>
    <row r="624" s="11" customFormat="1" ht="15"/>
    <row r="625" s="11" customFormat="1" ht="15"/>
    <row r="626" s="11" customFormat="1" ht="15"/>
    <row r="627" s="11" customFormat="1" ht="15"/>
    <row r="628" s="11" customFormat="1" ht="15"/>
    <row r="629" s="11" customFormat="1" ht="15"/>
    <row r="630" s="11" customFormat="1" ht="15"/>
    <row r="631" s="11" customFormat="1" ht="15"/>
    <row r="632" s="11" customFormat="1" ht="15"/>
    <row r="633" s="11" customFormat="1" ht="15"/>
    <row r="634" s="11" customFormat="1" ht="15"/>
    <row r="635" s="11" customFormat="1" ht="15"/>
    <row r="636" s="11" customFormat="1" ht="15"/>
    <row r="637" s="11" customFormat="1" ht="15"/>
    <row r="638" s="11" customFormat="1" ht="15"/>
    <row r="639" s="11" customFormat="1" ht="15"/>
    <row r="640" s="11" customFormat="1" ht="15"/>
    <row r="641" s="11" customFormat="1" ht="15"/>
    <row r="642" s="11" customFormat="1" ht="15"/>
    <row r="643" s="11" customFormat="1" ht="15"/>
    <row r="644" s="11" customFormat="1" ht="15"/>
    <row r="645" s="11" customFormat="1" ht="15"/>
    <row r="646" s="11" customFormat="1" ht="15"/>
    <row r="647" s="11" customFormat="1" ht="15"/>
    <row r="648" s="11" customFormat="1" ht="15"/>
    <row r="649" s="11" customFormat="1" ht="15"/>
    <row r="650" s="11" customFormat="1" ht="15"/>
    <row r="651" s="11" customFormat="1" ht="15"/>
    <row r="652" s="11" customFormat="1" ht="15"/>
    <row r="653" s="11" customFormat="1" ht="15"/>
    <row r="654" s="11" customFormat="1" ht="15"/>
    <row r="655" s="11" customFormat="1" ht="15"/>
    <row r="656" s="11" customFormat="1" ht="15"/>
    <row r="657" s="11" customFormat="1" ht="15"/>
    <row r="658" s="11" customFormat="1" ht="15"/>
    <row r="659" s="11" customFormat="1" ht="15"/>
    <row r="660" s="11" customFormat="1" ht="15"/>
    <row r="661" s="11" customFormat="1" ht="15"/>
    <row r="662" s="11" customFormat="1" ht="15"/>
    <row r="663" s="11" customFormat="1" ht="15"/>
    <row r="664" s="11" customFormat="1" ht="15"/>
    <row r="665" s="11" customFormat="1" ht="15"/>
    <row r="666" s="11" customFormat="1" ht="15"/>
    <row r="667" s="11" customFormat="1" ht="15"/>
    <row r="668" s="11" customFormat="1" ht="15"/>
    <row r="669" s="11" customFormat="1" ht="15"/>
    <row r="670" s="11" customFormat="1" ht="15"/>
    <row r="671" s="11" customFormat="1" ht="15"/>
    <row r="672" s="11" customFormat="1" ht="15"/>
    <row r="673" s="11" customFormat="1" ht="15"/>
    <row r="674" s="11" customFormat="1" ht="15"/>
    <row r="675" s="11" customFormat="1" ht="15"/>
    <row r="676" s="11" customFormat="1" ht="15"/>
    <row r="677" s="11" customFormat="1" ht="15"/>
    <row r="678" s="11" customFormat="1" ht="15"/>
    <row r="679" s="11" customFormat="1" ht="15"/>
    <row r="680" s="11" customFormat="1" ht="15"/>
    <row r="681" s="11" customFormat="1" ht="15"/>
    <row r="682" s="11" customFormat="1" ht="15"/>
    <row r="683" s="11" customFormat="1" ht="15"/>
    <row r="684" s="11" customFormat="1" ht="15"/>
    <row r="685" s="11" customFormat="1" ht="15"/>
    <row r="686" s="11" customFormat="1" ht="15"/>
    <row r="687" s="11" customFormat="1" ht="15"/>
    <row r="688" s="11" customFormat="1" ht="15"/>
    <row r="689" s="11" customFormat="1" ht="15"/>
    <row r="690" s="11" customFormat="1" ht="15"/>
    <row r="691" s="11" customFormat="1" ht="15"/>
    <row r="692" s="11" customFormat="1" ht="15"/>
    <row r="693" s="11" customFormat="1" ht="15"/>
    <row r="694" s="11" customFormat="1" ht="15"/>
    <row r="695" s="11" customFormat="1" ht="15"/>
    <row r="696" s="11" customFormat="1" ht="15"/>
    <row r="697" s="11" customFormat="1" ht="15"/>
    <row r="698" s="11" customFormat="1" ht="15"/>
    <row r="699" s="11" customFormat="1" ht="15"/>
    <row r="700" s="11" customFormat="1" ht="15"/>
    <row r="701" s="11" customFormat="1" ht="15"/>
    <row r="702" s="11" customFormat="1" ht="15"/>
    <row r="703" s="11" customFormat="1" ht="15"/>
    <row r="704" s="11" customFormat="1" ht="15"/>
    <row r="705" s="11" customFormat="1" ht="15"/>
    <row r="706" s="11" customFormat="1" ht="15"/>
    <row r="707" s="11" customFormat="1" ht="15"/>
    <row r="708" s="11" customFormat="1" ht="15"/>
    <row r="709" s="11" customFormat="1" ht="15"/>
    <row r="710" s="11" customFormat="1" ht="15"/>
    <row r="711" s="11" customFormat="1" ht="15"/>
    <row r="712" s="11" customFormat="1" ht="15"/>
    <row r="713" s="11" customFormat="1" ht="15"/>
    <row r="714" s="11" customFormat="1" ht="15"/>
    <row r="715" s="11" customFormat="1" ht="15"/>
    <row r="716" s="11" customFormat="1" ht="15"/>
    <row r="717" s="11" customFormat="1" ht="15"/>
    <row r="718" s="11" customFormat="1" ht="15"/>
    <row r="719" s="11" customFormat="1" ht="15"/>
    <row r="720" s="11" customFormat="1" ht="15"/>
    <row r="721" s="11" customFormat="1" ht="15"/>
    <row r="722" s="11" customFormat="1" ht="15"/>
    <row r="723" s="11" customFormat="1" ht="15"/>
    <row r="724" s="11" customFormat="1" ht="15"/>
    <row r="725" s="11" customFormat="1" ht="15"/>
    <row r="726" s="11" customFormat="1" ht="15"/>
    <row r="727" s="11" customFormat="1" ht="15"/>
    <row r="728" s="11" customFormat="1" ht="15"/>
    <row r="729" s="11" customFormat="1" ht="15"/>
    <row r="730" s="11" customFormat="1" ht="15"/>
    <row r="731" s="11" customFormat="1" ht="15"/>
    <row r="732" s="11" customFormat="1" ht="15"/>
    <row r="733" s="11" customFormat="1" ht="15"/>
    <row r="734" s="11" customFormat="1" ht="15"/>
    <row r="735" s="11" customFormat="1" ht="15"/>
    <row r="736" s="11" customFormat="1" ht="15"/>
    <row r="737" s="11" customFormat="1" ht="15"/>
    <row r="738" s="11" customFormat="1" ht="15"/>
    <row r="739" s="11" customFormat="1" ht="15"/>
    <row r="740" s="11" customFormat="1" ht="15"/>
    <row r="741" s="11" customFormat="1" ht="15"/>
    <row r="742" s="11" customFormat="1" ht="15"/>
    <row r="743" s="11" customFormat="1" ht="15"/>
    <row r="744" s="11" customFormat="1" ht="15"/>
    <row r="745" s="11" customFormat="1" ht="15"/>
    <row r="746" s="11" customFormat="1" ht="15"/>
    <row r="747" s="11" customFormat="1" ht="15"/>
    <row r="748" s="11" customFormat="1" ht="15"/>
    <row r="749" s="11" customFormat="1" ht="15"/>
    <row r="750" s="11" customFormat="1" ht="15"/>
    <row r="751" s="11" customFormat="1" ht="15"/>
    <row r="752" s="11" customFormat="1" ht="15"/>
    <row r="753" s="11" customFormat="1" ht="15"/>
    <row r="754" s="11" customFormat="1" ht="15"/>
    <row r="755" s="11" customFormat="1" ht="15"/>
    <row r="756" s="11" customFormat="1" ht="15"/>
    <row r="757" s="11" customFormat="1" ht="15"/>
    <row r="758" s="11" customFormat="1" ht="15"/>
    <row r="759" s="11" customFormat="1" ht="15"/>
    <row r="760" s="11" customFormat="1" ht="15"/>
    <row r="761" s="11" customFormat="1" ht="15"/>
    <row r="762" s="11" customFormat="1" ht="15"/>
    <row r="763" s="11" customFormat="1" ht="15"/>
    <row r="764" s="11" customFormat="1" ht="15"/>
    <row r="765" s="11" customFormat="1" ht="15"/>
    <row r="766" s="11" customFormat="1" ht="15"/>
    <row r="767" s="11" customFormat="1" ht="15"/>
    <row r="768" s="11" customFormat="1" ht="15"/>
    <row r="769" s="11" customFormat="1" ht="15"/>
    <row r="770" s="11" customFormat="1" ht="15"/>
    <row r="771" s="11" customFormat="1" ht="15"/>
    <row r="772" s="11" customFormat="1" ht="15"/>
    <row r="773" s="11" customFormat="1" ht="15"/>
    <row r="774" s="11" customFormat="1" ht="15"/>
    <row r="775" s="11" customFormat="1" ht="15"/>
    <row r="776" s="11" customFormat="1" ht="15"/>
    <row r="777" s="11" customFormat="1" ht="15"/>
    <row r="778" s="11" customFormat="1" ht="15"/>
    <row r="779" s="11" customFormat="1" ht="15"/>
    <row r="780" s="11" customFormat="1" ht="15"/>
    <row r="781" s="11" customFormat="1" ht="15"/>
    <row r="782" s="11" customFormat="1" ht="15"/>
    <row r="783" s="11" customFormat="1" ht="15"/>
    <row r="784" s="11" customFormat="1" ht="15"/>
    <row r="785" spans="1:32" s="11" customFormat="1" ht="15"/>
    <row r="786" spans="1:32" s="11" customFormat="1" ht="15"/>
    <row r="787" spans="1:32" s="11" customFormat="1" ht="15"/>
    <row r="788" spans="1:32" s="11" customFormat="1" ht="15"/>
    <row r="789" spans="1:32" s="11" customFormat="1" ht="15"/>
    <row r="790" spans="1:32" s="11" customFormat="1" ht="15"/>
    <row r="791" spans="1:32" s="11" customFormat="1" ht="15"/>
    <row r="792" spans="1:32" s="11" customFormat="1" ht="15">
      <c r="A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</row>
    <row r="793" spans="1:32" s="11" customFormat="1" ht="15">
      <c r="A793"/>
      <c r="C793"/>
      <c r="D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</row>
    <row r="794" spans="1:32" s="11" customFormat="1" ht="15">
      <c r="A794"/>
      <c r="C794"/>
      <c r="D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</row>
    <row r="795" spans="1:32" s="11" customFormat="1" ht="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</row>
    <row r="796" spans="1:32" s="11" customFormat="1" ht="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</row>
    <row r="797" spans="1:32" s="11" customFormat="1" ht="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</row>
    <row r="798" spans="1:32" s="11" customFormat="1" ht="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</row>
    <row r="799" spans="1:32" s="11" customFormat="1" ht="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</row>
    <row r="800" spans="1:32" s="11" customFormat="1" ht="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</row>
    <row r="801" spans="1:32" s="11" customFormat="1" ht="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</row>
    <row r="802" spans="1:32" s="11" customFormat="1" ht="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</row>
    <row r="803" spans="1:32" s="11" customFormat="1" ht="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</row>
    <row r="804" spans="1:32" s="11" customFormat="1" ht="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</row>
  </sheetData>
  <mergeCells count="1">
    <mergeCell ref="I61:K61"/>
  </mergeCells>
  <pageMargins left="0.70866141732283472" right="0.70866141732283472" top="0.74803149606299213" bottom="0.74803149606299213" header="0.31496062992125984" footer="0.31496062992125984"/>
  <pageSetup paperSize="9" scale="43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05"/>
  <sheetViews>
    <sheetView topLeftCell="A61" workbookViewId="0">
      <selection activeCell="C65" sqref="C65"/>
    </sheetView>
  </sheetViews>
  <sheetFormatPr defaultRowHeight="12.75"/>
  <cols>
    <col min="1" max="1" width="10.125" bestFit="1" customWidth="1"/>
    <col min="2" max="2" width="50.625" customWidth="1"/>
    <col min="3" max="3" width="10.625" customWidth="1"/>
    <col min="4" max="4" width="10.75" hidden="1" customWidth="1"/>
    <col min="5" max="5" width="12.5" hidden="1" customWidth="1"/>
    <col min="6" max="6" width="10.75" hidden="1" customWidth="1"/>
    <col min="7" max="7" width="11.875" hidden="1" customWidth="1"/>
    <col min="8" max="8" width="11.75" hidden="1" customWidth="1"/>
    <col min="9" max="9" width="11.75" customWidth="1"/>
    <col min="10" max="10" width="11.875" bestFit="1" customWidth="1"/>
    <col min="11" max="11" width="11.625" customWidth="1"/>
    <col min="12" max="12" width="12.375" customWidth="1"/>
    <col min="13" max="13" width="10.875" bestFit="1" customWidth="1"/>
    <col min="14" max="14" width="12" customWidth="1"/>
    <col min="15" max="15" width="11.625" customWidth="1"/>
    <col min="16" max="16" width="12.375" customWidth="1"/>
    <col min="17" max="19" width="10.625" bestFit="1" customWidth="1"/>
    <col min="20" max="20" width="9.75" bestFit="1" customWidth="1"/>
    <col min="21" max="21" width="10.125" bestFit="1" customWidth="1"/>
    <col min="22" max="22" width="9.75" bestFit="1" customWidth="1"/>
    <col min="23" max="23" width="9.5" customWidth="1"/>
    <col min="28" max="28" width="10.75" bestFit="1" customWidth="1"/>
    <col min="33" max="33" width="10.5" customWidth="1"/>
    <col min="34" max="34" width="11.375" customWidth="1"/>
    <col min="38" max="38" width="11.5" bestFit="1" customWidth="1"/>
    <col min="39" max="39" width="10.75" bestFit="1" customWidth="1"/>
    <col min="40" max="40" width="8.625" customWidth="1"/>
  </cols>
  <sheetData>
    <row r="1" spans="1:33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</row>
    <row r="2" spans="1:33" ht="14.25">
      <c r="AE2" s="248"/>
      <c r="AF2" s="248"/>
      <c r="AG2" s="248"/>
    </row>
    <row r="3" spans="1:33" s="11" customFormat="1" ht="15"/>
    <row r="4" spans="1:33" s="11" customFormat="1" ht="26.25">
      <c r="B4" s="101" t="s">
        <v>186</v>
      </c>
      <c r="C4" s="101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</row>
    <row r="5" spans="1:33" s="11" customFormat="1" ht="15">
      <c r="K5" s="11" t="s">
        <v>18</v>
      </c>
      <c r="L5" s="11" t="s">
        <v>18</v>
      </c>
      <c r="M5" s="11" t="s">
        <v>18</v>
      </c>
      <c r="N5" s="11" t="s">
        <v>18</v>
      </c>
      <c r="O5" s="11" t="s">
        <v>18</v>
      </c>
      <c r="P5" s="11" t="s">
        <v>18</v>
      </c>
      <c r="Q5" s="11" t="s">
        <v>18</v>
      </c>
      <c r="R5" s="11" t="s">
        <v>18</v>
      </c>
      <c r="S5" s="11" t="s">
        <v>18</v>
      </c>
      <c r="T5" s="11" t="s">
        <v>18</v>
      </c>
      <c r="U5" s="11" t="s">
        <v>18</v>
      </c>
      <c r="V5" s="11" t="s">
        <v>18</v>
      </c>
      <c r="W5" s="11" t="s">
        <v>18</v>
      </c>
      <c r="X5" s="11" t="s">
        <v>18</v>
      </c>
    </row>
    <row r="6" spans="1:33" s="11" customFormat="1" ht="15">
      <c r="B6" s="105"/>
      <c r="C6" s="105"/>
      <c r="D6" s="11">
        <v>2006</v>
      </c>
      <c r="E6" s="11">
        <v>2007</v>
      </c>
      <c r="F6" s="11">
        <f t="shared" ref="F6:Q6" si="0">E6+1</f>
        <v>2008</v>
      </c>
      <c r="G6" s="11">
        <f t="shared" si="0"/>
        <v>2009</v>
      </c>
      <c r="H6" s="11">
        <f t="shared" si="0"/>
        <v>2010</v>
      </c>
      <c r="I6" s="11">
        <f>H6+1</f>
        <v>2011</v>
      </c>
      <c r="J6" s="12">
        <f>I6+1</f>
        <v>2012</v>
      </c>
      <c r="K6" s="12">
        <f t="shared" si="0"/>
        <v>2013</v>
      </c>
      <c r="L6" s="12">
        <f t="shared" si="0"/>
        <v>2014</v>
      </c>
      <c r="M6" s="12">
        <f t="shared" si="0"/>
        <v>2015</v>
      </c>
      <c r="N6" s="11">
        <f t="shared" si="0"/>
        <v>2016</v>
      </c>
      <c r="O6" s="11">
        <f t="shared" si="0"/>
        <v>2017</v>
      </c>
      <c r="P6" s="11">
        <f t="shared" si="0"/>
        <v>2018</v>
      </c>
      <c r="Q6" s="11">
        <f t="shared" si="0"/>
        <v>2019</v>
      </c>
      <c r="R6" s="11">
        <f t="shared" ref="R6:W6" si="1">Q6+1</f>
        <v>2020</v>
      </c>
      <c r="S6" s="11">
        <f t="shared" si="1"/>
        <v>2021</v>
      </c>
      <c r="T6" s="11">
        <f t="shared" si="1"/>
        <v>2022</v>
      </c>
      <c r="U6" s="11">
        <f t="shared" si="1"/>
        <v>2023</v>
      </c>
      <c r="V6" s="11">
        <f t="shared" si="1"/>
        <v>2024</v>
      </c>
      <c r="W6" s="11">
        <f t="shared" si="1"/>
        <v>2025</v>
      </c>
    </row>
    <row r="7" spans="1:33" s="11" customFormat="1" ht="15">
      <c r="B7" s="105" t="s">
        <v>142</v>
      </c>
      <c r="C7" s="105"/>
    </row>
    <row r="8" spans="1:33" s="11" customFormat="1" ht="15">
      <c r="B8" s="14" t="s">
        <v>96</v>
      </c>
      <c r="C8" s="14"/>
      <c r="D8" s="117">
        <f>CPI!E10</f>
        <v>1.0377551020408164</v>
      </c>
      <c r="E8" s="236">
        <f>CPI!E11</f>
        <v>0.98929961089494167</v>
      </c>
      <c r="F8" s="236">
        <f>CPI!E12</f>
        <v>0.95046728971962624</v>
      </c>
      <c r="G8" s="237">
        <f>CPI!E13</f>
        <v>0.99510763209393349</v>
      </c>
      <c r="H8" s="237">
        <f>CPI!E14</f>
        <v>1.0049407114624507</v>
      </c>
      <c r="I8" s="235">
        <f>CPI!E15</f>
        <v>0.99499080342816892</v>
      </c>
      <c r="J8" s="235">
        <f>CPI!E16</f>
        <v>0.98028650584056065</v>
      </c>
      <c r="K8" s="235">
        <f>CPI!E17</f>
        <v>0.96106520180447119</v>
      </c>
      <c r="L8" s="235">
        <f>CPI!E18</f>
        <v>0.9422207860828149</v>
      </c>
      <c r="M8" s="235">
        <f>CPI!E19</f>
        <v>0.92374586870864217</v>
      </c>
    </row>
    <row r="9" spans="1:33" s="11" customFormat="1" ht="15">
      <c r="B9" s="105"/>
      <c r="C9" s="105"/>
    </row>
    <row r="10" spans="1:33" s="11" customFormat="1" ht="15">
      <c r="B10" s="105" t="s">
        <v>120</v>
      </c>
      <c r="C10" s="105"/>
      <c r="N10" s="14"/>
      <c r="O10" s="14"/>
    </row>
    <row r="11" spans="1:33" s="11" customFormat="1" ht="15">
      <c r="C11" s="184">
        <v>0.5</v>
      </c>
      <c r="E11" s="119"/>
      <c r="F11" s="119"/>
      <c r="G11" s="119"/>
      <c r="O11" s="104"/>
    </row>
    <row r="12" spans="1:33" s="11" customFormat="1" ht="15">
      <c r="C12" s="11" t="s">
        <v>95</v>
      </c>
      <c r="J12" s="14"/>
      <c r="K12" s="14"/>
      <c r="L12" s="14"/>
      <c r="M12" s="14"/>
      <c r="N12" s="14"/>
      <c r="O12" s="104"/>
    </row>
    <row r="13" spans="1:33" s="11" customFormat="1" ht="15">
      <c r="B13" s="114" t="s">
        <v>38</v>
      </c>
      <c r="C13" s="136">
        <v>8</v>
      </c>
      <c r="J13" s="182">
        <f>'IAA submission'!C104*1000</f>
        <v>369000</v>
      </c>
      <c r="K13" s="182">
        <f>'IAA submission'!D104*1000</f>
        <v>373000</v>
      </c>
      <c r="L13" s="182">
        <f>'IAA submission'!E104*1000</f>
        <v>805000</v>
      </c>
      <c r="M13" s="182">
        <f>'IAA submission'!F104*1000</f>
        <v>873000</v>
      </c>
      <c r="N13" s="13"/>
      <c r="O13" s="13"/>
    </row>
    <row r="14" spans="1:33" s="11" customFormat="1" ht="15">
      <c r="B14" s="114" t="s">
        <v>37</v>
      </c>
      <c r="C14" s="136">
        <v>8</v>
      </c>
      <c r="J14" s="182">
        <f>'IAA submission'!C105*1000</f>
        <v>75000</v>
      </c>
      <c r="K14" s="182">
        <f>'IAA submission'!D105*1000</f>
        <v>550000</v>
      </c>
      <c r="L14" s="182">
        <f>'IAA submission'!E105*1000</f>
        <v>1350000</v>
      </c>
      <c r="M14" s="182">
        <f>'IAA submission'!F105*1000</f>
        <v>1000000</v>
      </c>
      <c r="N14" s="13"/>
      <c r="O14" s="13"/>
    </row>
    <row r="15" spans="1:33" s="11" customFormat="1" ht="15">
      <c r="B15" s="114" t="s">
        <v>36</v>
      </c>
      <c r="C15" s="136">
        <v>8</v>
      </c>
      <c r="J15" s="182">
        <f>'IAA submission'!C106*1000</f>
        <v>1556000</v>
      </c>
      <c r="K15" s="182">
        <f>'IAA submission'!D106*1000</f>
        <v>3462000</v>
      </c>
      <c r="L15" s="182">
        <f>'IAA submission'!E106*1000</f>
        <v>1013000</v>
      </c>
      <c r="M15" s="182">
        <f>'IAA submission'!F106*1000</f>
        <v>0</v>
      </c>
      <c r="N15" s="13"/>
      <c r="O15" s="13"/>
    </row>
    <row r="16" spans="1:33" s="11" customFormat="1" ht="15">
      <c r="B16" s="114" t="s">
        <v>35</v>
      </c>
      <c r="C16" s="136">
        <v>8</v>
      </c>
      <c r="J16" s="182">
        <f>'IAA submission'!C107*1000</f>
        <v>1285000</v>
      </c>
      <c r="K16" s="182">
        <f>'IAA submission'!D107*1000</f>
        <v>934000</v>
      </c>
      <c r="L16" s="182">
        <f>'IAA submission'!E107*1000</f>
        <v>1500000</v>
      </c>
      <c r="M16" s="182">
        <f>'IAA submission'!F107*1000</f>
        <v>2500000</v>
      </c>
      <c r="N16" s="13"/>
      <c r="O16" s="13"/>
    </row>
    <row r="17" spans="2:16" s="11" customFormat="1" ht="15">
      <c r="B17" s="114" t="s">
        <v>17</v>
      </c>
      <c r="C17" s="136">
        <v>8</v>
      </c>
      <c r="J17" s="182">
        <f>'IAA submission'!C108*1000</f>
        <v>0</v>
      </c>
      <c r="K17" s="182">
        <f>'IAA submission'!D108*1000</f>
        <v>0</v>
      </c>
      <c r="L17" s="182">
        <f>'IAA submission'!E108*1000</f>
        <v>0</v>
      </c>
      <c r="M17" s="182">
        <f>'IAA submission'!F108*1000</f>
        <v>0</v>
      </c>
      <c r="N17" s="13"/>
      <c r="O17" s="13"/>
    </row>
    <row r="18" spans="2:16" s="11" customFormat="1" ht="15">
      <c r="B18" s="114" t="s">
        <v>33</v>
      </c>
      <c r="C18" s="136">
        <v>3</v>
      </c>
      <c r="J18" s="182">
        <f>'IAA submission'!C109*1000</f>
        <v>300000</v>
      </c>
      <c r="K18" s="182">
        <f>'IAA submission'!D109*1000</f>
        <v>169000</v>
      </c>
      <c r="L18" s="182">
        <f>'IAA submission'!E109*1000</f>
        <v>277000</v>
      </c>
      <c r="M18" s="182">
        <f>'IAA submission'!F109*1000</f>
        <v>312000</v>
      </c>
      <c r="N18" s="13"/>
      <c r="O18" s="13"/>
    </row>
    <row r="19" spans="2:16" s="11" customFormat="1" ht="15">
      <c r="B19" s="114" t="s">
        <v>10</v>
      </c>
      <c r="C19" s="136">
        <v>8</v>
      </c>
      <c r="J19" s="182">
        <f>'IAA submission'!C110*1000</f>
        <v>190000</v>
      </c>
      <c r="K19" s="182">
        <f>'IAA submission'!D110*1000</f>
        <v>0</v>
      </c>
      <c r="L19" s="182">
        <f>'IAA submission'!E110*1000</f>
        <v>0</v>
      </c>
      <c r="M19" s="182">
        <f>'IAA submission'!F110*1000</f>
        <v>0</v>
      </c>
      <c r="N19" s="13"/>
      <c r="O19" s="13"/>
    </row>
    <row r="20" spans="2:16" s="11" customFormat="1" ht="15">
      <c r="B20" s="114" t="s">
        <v>32</v>
      </c>
      <c r="C20" s="136">
        <v>5</v>
      </c>
      <c r="J20" s="183">
        <f>'IAA submission'!C111*1000</f>
        <v>190000</v>
      </c>
      <c r="K20" s="183">
        <f>'IAA submission'!D111*1000</f>
        <v>125000</v>
      </c>
      <c r="L20" s="183">
        <f>'IAA submission'!E111*1000</f>
        <v>125000</v>
      </c>
      <c r="M20" s="183">
        <f>'IAA submission'!F111*1000</f>
        <v>125000</v>
      </c>
      <c r="N20" s="13"/>
      <c r="O20" s="13"/>
    </row>
    <row r="21" spans="2:16" s="11" customFormat="1" ht="15.75" thickBot="1">
      <c r="B21" s="120" t="s">
        <v>179</v>
      </c>
      <c r="C21" s="121"/>
      <c r="E21" s="14"/>
      <c r="F21" s="14"/>
      <c r="G21" s="14"/>
      <c r="J21" s="182">
        <f>SUM(J13:J20)</f>
        <v>3965000</v>
      </c>
      <c r="K21" s="182">
        <f>SUM(K13:K20)</f>
        <v>5613000</v>
      </c>
      <c r="L21" s="182">
        <f>SUM(L13:L20)</f>
        <v>5070000</v>
      </c>
      <c r="M21" s="182">
        <f>SUM(M13:M20)</f>
        <v>4810000</v>
      </c>
      <c r="N21" s="13"/>
      <c r="O21" s="13"/>
      <c r="P21" s="122"/>
    </row>
    <row r="22" spans="2:16" s="11" customFormat="1" ht="15.75" thickTop="1">
      <c r="B22" s="123"/>
      <c r="C22" s="14"/>
      <c r="E22" s="14"/>
      <c r="F22" s="14"/>
      <c r="G22" s="14"/>
      <c r="J22" s="13"/>
      <c r="K22" s="13"/>
      <c r="L22" s="13"/>
      <c r="M22" s="13"/>
      <c r="N22" s="13"/>
      <c r="O22" s="13"/>
      <c r="P22" s="122"/>
    </row>
    <row r="23" spans="2:16" s="11" customFormat="1" ht="15">
      <c r="B23" s="105" t="s">
        <v>118</v>
      </c>
      <c r="C23" s="14"/>
      <c r="E23" s="14"/>
      <c r="F23" s="14"/>
      <c r="G23" s="14"/>
      <c r="J23" s="13"/>
      <c r="K23" s="13"/>
      <c r="L23" s="13"/>
      <c r="M23" s="13"/>
      <c r="N23" s="13"/>
      <c r="O23" s="13"/>
      <c r="P23" s="122"/>
    </row>
    <row r="24" spans="2:16" s="11" customFormat="1" ht="15">
      <c r="C24" s="184">
        <v>0.5</v>
      </c>
      <c r="E24" s="14"/>
      <c r="F24" s="14"/>
      <c r="G24" s="14"/>
      <c r="J24" s="13"/>
      <c r="K24" s="13"/>
      <c r="L24" s="13"/>
      <c r="M24" s="13"/>
      <c r="N24" s="13"/>
      <c r="O24" s="104"/>
      <c r="P24" s="122"/>
    </row>
    <row r="25" spans="2:16" s="11" customFormat="1" ht="15">
      <c r="C25" s="11" t="s">
        <v>95</v>
      </c>
      <c r="E25" s="14"/>
      <c r="F25" s="14"/>
      <c r="G25" s="14"/>
      <c r="J25" s="13"/>
      <c r="K25" s="13"/>
      <c r="L25" s="13"/>
      <c r="M25" s="13"/>
      <c r="N25" s="13"/>
      <c r="O25" s="104"/>
      <c r="P25" s="122"/>
    </row>
    <row r="26" spans="2:16" s="11" customFormat="1" ht="15">
      <c r="B26" s="114" t="s">
        <v>38</v>
      </c>
      <c r="C26" s="136">
        <v>8</v>
      </c>
      <c r="E26" s="14"/>
      <c r="F26" s="14"/>
      <c r="G26" s="14"/>
      <c r="J26" s="13">
        <f t="shared" ref="J26:M27" si="2">J13*J$8</f>
        <v>361725.72065516689</v>
      </c>
      <c r="K26" s="13">
        <f t="shared" si="2"/>
        <v>358477.32027306774</v>
      </c>
      <c r="L26" s="13">
        <f t="shared" si="2"/>
        <v>758487.73279666598</v>
      </c>
      <c r="M26" s="13">
        <f t="shared" si="2"/>
        <v>806430.14338264463</v>
      </c>
      <c r="N26" s="13"/>
      <c r="O26" s="13"/>
      <c r="P26" s="122"/>
    </row>
    <row r="27" spans="2:16" s="11" customFormat="1" ht="15">
      <c r="B27" s="114" t="s">
        <v>37</v>
      </c>
      <c r="C27" s="136">
        <v>8</v>
      </c>
      <c r="E27" s="14"/>
      <c r="F27" s="14"/>
      <c r="G27" s="14"/>
      <c r="J27" s="13">
        <f t="shared" si="2"/>
        <v>73521.487938042046</v>
      </c>
      <c r="K27" s="13">
        <f t="shared" si="2"/>
        <v>528585.86099245911</v>
      </c>
      <c r="L27" s="13">
        <f t="shared" si="2"/>
        <v>1271998.0612118002</v>
      </c>
      <c r="M27" s="13">
        <f t="shared" si="2"/>
        <v>923745.8687086422</v>
      </c>
      <c r="N27" s="13"/>
      <c r="O27" s="13"/>
      <c r="P27" s="122"/>
    </row>
    <row r="28" spans="2:16" s="11" customFormat="1" ht="15">
      <c r="B28" s="114" t="s">
        <v>36</v>
      </c>
      <c r="C28" s="136">
        <v>8</v>
      </c>
      <c r="E28" s="14"/>
      <c r="F28" s="14"/>
      <c r="G28" s="14"/>
      <c r="J28" s="13">
        <f t="shared" ref="J28:M33" si="3">J15*J$8</f>
        <v>1525325.8030879123</v>
      </c>
      <c r="K28" s="13">
        <f t="shared" si="3"/>
        <v>3327207.7286470793</v>
      </c>
      <c r="L28" s="13">
        <f t="shared" si="3"/>
        <v>954469.65630189155</v>
      </c>
      <c r="M28" s="13">
        <f t="shared" si="3"/>
        <v>0</v>
      </c>
      <c r="N28" s="13"/>
      <c r="O28" s="13"/>
      <c r="P28" s="122"/>
    </row>
    <row r="29" spans="2:16" s="11" customFormat="1" ht="15">
      <c r="B29" s="114" t="s">
        <v>35</v>
      </c>
      <c r="C29" s="136">
        <v>8</v>
      </c>
      <c r="E29" s="14"/>
      <c r="F29" s="14"/>
      <c r="G29" s="14"/>
      <c r="J29" s="13">
        <f t="shared" si="3"/>
        <v>1259668.1600051203</v>
      </c>
      <c r="K29" s="13">
        <f t="shared" si="3"/>
        <v>897634.89848537615</v>
      </c>
      <c r="L29" s="13">
        <f t="shared" si="3"/>
        <v>1413331.1791242224</v>
      </c>
      <c r="M29" s="13">
        <f t="shared" si="3"/>
        <v>2309364.6717716055</v>
      </c>
      <c r="N29" s="13"/>
      <c r="O29" s="13"/>
      <c r="P29" s="122"/>
    </row>
    <row r="30" spans="2:16" s="11" customFormat="1" ht="15">
      <c r="B30" s="114" t="s">
        <v>17</v>
      </c>
      <c r="C30" s="136">
        <v>8</v>
      </c>
      <c r="E30" s="14"/>
      <c r="F30" s="14"/>
      <c r="G30" s="14"/>
      <c r="J30" s="13">
        <f t="shared" si="3"/>
        <v>0</v>
      </c>
      <c r="K30" s="13">
        <f t="shared" si="3"/>
        <v>0</v>
      </c>
      <c r="L30" s="13">
        <f t="shared" si="3"/>
        <v>0</v>
      </c>
      <c r="M30" s="13">
        <f t="shared" si="3"/>
        <v>0</v>
      </c>
      <c r="N30" s="13"/>
      <c r="O30" s="13"/>
      <c r="P30" s="122"/>
    </row>
    <row r="31" spans="2:16" s="11" customFormat="1" ht="15">
      <c r="B31" s="114" t="s">
        <v>33</v>
      </c>
      <c r="C31" s="136">
        <v>3</v>
      </c>
      <c r="E31" s="14"/>
      <c r="F31" s="14"/>
      <c r="G31" s="14"/>
      <c r="J31" s="13">
        <f t="shared" si="3"/>
        <v>294085.95175216818</v>
      </c>
      <c r="K31" s="13">
        <f t="shared" si="3"/>
        <v>162420.01910495563</v>
      </c>
      <c r="L31" s="13">
        <f t="shared" si="3"/>
        <v>260995.15774493973</v>
      </c>
      <c r="M31" s="13">
        <f t="shared" si="3"/>
        <v>288208.71103709633</v>
      </c>
      <c r="N31" s="13"/>
      <c r="O31" s="171"/>
      <c r="P31" s="122"/>
    </row>
    <row r="32" spans="2:16" s="11" customFormat="1" ht="15">
      <c r="B32" s="114" t="s">
        <v>10</v>
      </c>
      <c r="C32" s="136">
        <v>8</v>
      </c>
      <c r="E32" s="14"/>
      <c r="F32" s="14"/>
      <c r="G32" s="14"/>
      <c r="J32" s="13">
        <f t="shared" si="3"/>
        <v>186254.43610970653</v>
      </c>
      <c r="K32" s="13">
        <f t="shared" si="3"/>
        <v>0</v>
      </c>
      <c r="L32" s="13">
        <f t="shared" si="3"/>
        <v>0</v>
      </c>
      <c r="M32" s="13">
        <f t="shared" si="3"/>
        <v>0</v>
      </c>
      <c r="N32" s="13"/>
      <c r="O32" s="171"/>
      <c r="P32" s="122"/>
    </row>
    <row r="33" spans="2:28" s="11" customFormat="1" ht="15">
      <c r="B33" s="114" t="s">
        <v>32</v>
      </c>
      <c r="C33" s="136">
        <v>5</v>
      </c>
      <c r="E33" s="14"/>
      <c r="F33" s="14"/>
      <c r="G33" s="14"/>
      <c r="J33" s="124">
        <f t="shared" si="3"/>
        <v>186254.43610970653</v>
      </c>
      <c r="K33" s="124">
        <f t="shared" si="3"/>
        <v>120133.1502255589</v>
      </c>
      <c r="L33" s="124">
        <f t="shared" si="3"/>
        <v>117777.59826035186</v>
      </c>
      <c r="M33" s="124">
        <f t="shared" si="3"/>
        <v>115468.23358858027</v>
      </c>
      <c r="N33" s="257"/>
      <c r="O33" s="13"/>
      <c r="P33" s="122"/>
    </row>
    <row r="34" spans="2:28" s="11" customFormat="1" ht="15.75" thickBot="1">
      <c r="B34" s="120" t="s">
        <v>179</v>
      </c>
      <c r="C34" s="121"/>
      <c r="E34" s="14"/>
      <c r="F34" s="14"/>
      <c r="G34" s="14"/>
      <c r="J34" s="259">
        <f>SUM(J26:J33)</f>
        <v>3886835.995657823</v>
      </c>
      <c r="K34" s="259">
        <f>SUM(K26:K33)</f>
        <v>5394458.9777284982</v>
      </c>
      <c r="L34" s="259">
        <f>SUM(L26:L33)</f>
        <v>4777059.3854398709</v>
      </c>
      <c r="M34" s="259">
        <f>SUM(M26:M33)</f>
        <v>4443217.6284885686</v>
      </c>
      <c r="N34" s="258"/>
      <c r="O34" s="13"/>
      <c r="P34" s="122"/>
    </row>
    <row r="35" spans="2:28" s="11" customFormat="1" ht="15.75" thickTop="1">
      <c r="L35" s="14"/>
      <c r="O35" s="13"/>
      <c r="P35" s="122"/>
    </row>
    <row r="36" spans="2:28" s="11" customFormat="1" ht="15"/>
    <row r="37" spans="2:28" s="11" customFormat="1" ht="26.25">
      <c r="B37" s="101" t="s">
        <v>124</v>
      </c>
      <c r="C37" s="101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</row>
    <row r="38" spans="2:28" s="11" customFormat="1" ht="15">
      <c r="Y38" s="394" t="s">
        <v>200</v>
      </c>
      <c r="Z38" s="395"/>
      <c r="AA38" s="395"/>
      <c r="AB38" s="396"/>
    </row>
    <row r="39" spans="2:28" s="11" customFormat="1" ht="15">
      <c r="B39" s="105" t="s">
        <v>117</v>
      </c>
      <c r="C39" s="105"/>
      <c r="E39" s="11">
        <v>2007</v>
      </c>
      <c r="F39" s="11">
        <f>E39+1</f>
        <v>2008</v>
      </c>
      <c r="G39" s="11">
        <f>F39+1</f>
        <v>2009</v>
      </c>
      <c r="H39" s="11">
        <v>2010</v>
      </c>
      <c r="I39" s="11">
        <f t="shared" ref="I39:W39" si="4">H39+1</f>
        <v>2011</v>
      </c>
      <c r="J39" s="12">
        <f t="shared" si="4"/>
        <v>2012</v>
      </c>
      <c r="K39" s="12">
        <f t="shared" si="4"/>
        <v>2013</v>
      </c>
      <c r="L39" s="12">
        <f t="shared" si="4"/>
        <v>2014</v>
      </c>
      <c r="M39" s="12">
        <f t="shared" si="4"/>
        <v>2015</v>
      </c>
      <c r="N39" s="15">
        <f t="shared" si="4"/>
        <v>2016</v>
      </c>
      <c r="O39" s="11">
        <f t="shared" si="4"/>
        <v>2017</v>
      </c>
      <c r="P39" s="11">
        <f t="shared" si="4"/>
        <v>2018</v>
      </c>
      <c r="Q39" s="11">
        <f t="shared" si="4"/>
        <v>2019</v>
      </c>
      <c r="R39" s="11">
        <f t="shared" si="4"/>
        <v>2020</v>
      </c>
      <c r="S39" s="11">
        <f t="shared" si="4"/>
        <v>2021</v>
      </c>
      <c r="T39" s="11">
        <f t="shared" si="4"/>
        <v>2022</v>
      </c>
      <c r="U39" s="11">
        <f t="shared" si="4"/>
        <v>2023</v>
      </c>
      <c r="V39" s="11">
        <f t="shared" si="4"/>
        <v>2024</v>
      </c>
      <c r="W39" s="11">
        <f t="shared" si="4"/>
        <v>2025</v>
      </c>
      <c r="Y39" s="125" t="s">
        <v>143</v>
      </c>
      <c r="Z39" s="125" t="s">
        <v>144</v>
      </c>
      <c r="AA39" s="125" t="s">
        <v>40</v>
      </c>
      <c r="AB39" s="125" t="s">
        <v>40</v>
      </c>
    </row>
    <row r="40" spans="2:28" s="11" customFormat="1" ht="15">
      <c r="B40" s="105" t="s">
        <v>119</v>
      </c>
      <c r="C40" s="105"/>
      <c r="Y40" s="127" t="s">
        <v>121</v>
      </c>
      <c r="Z40" s="127" t="s">
        <v>122</v>
      </c>
      <c r="AA40" s="127" t="s">
        <v>93</v>
      </c>
      <c r="AB40" s="127" t="s">
        <v>6</v>
      </c>
    </row>
    <row r="41" spans="2:28" s="11" customFormat="1" ht="15">
      <c r="C41" s="184">
        <v>0.5</v>
      </c>
      <c r="E41" s="119"/>
      <c r="F41" s="119"/>
      <c r="G41" s="119"/>
      <c r="Y41" s="128"/>
      <c r="Z41" s="128" t="s">
        <v>123</v>
      </c>
      <c r="AA41" s="128"/>
      <c r="AB41" s="128"/>
    </row>
    <row r="42" spans="2:28" s="11" customFormat="1" ht="15" customHeight="1">
      <c r="C42" s="11" t="s">
        <v>95</v>
      </c>
      <c r="Y42" s="126"/>
      <c r="Z42" s="108"/>
      <c r="AA42" s="108"/>
      <c r="AB42" s="242"/>
    </row>
    <row r="43" spans="2:28" s="11" customFormat="1" ht="15">
      <c r="B43" s="114" t="s">
        <v>38</v>
      </c>
      <c r="C43" s="136">
        <v>8</v>
      </c>
      <c r="J43" s="111">
        <f>(SUM(E26:I26)*$C$24+SUM(E26:J26)*$C$24)/$C26</f>
        <v>22607.857540947931</v>
      </c>
      <c r="K43" s="111">
        <f>(SUM(E26:J26)*$C$24+SUM(E26:K26)*$C$24)/$C26</f>
        <v>67620.547598962585</v>
      </c>
      <c r="L43" s="111">
        <f>(SUM(E26:K26)*$C$24+SUM(E26:L26)*$C$24)/$C26</f>
        <v>137430.86341582093</v>
      </c>
      <c r="M43" s="111">
        <f t="shared" ref="M43:Q47" si="5">(SUM(E26:L26)*$C$24+SUM(F26:M26)*$C$24)/$C26</f>
        <v>235238.23067702787</v>
      </c>
      <c r="N43" s="111">
        <f t="shared" si="5"/>
        <v>285640.11463844316</v>
      </c>
      <c r="O43" s="111">
        <f t="shared" si="5"/>
        <v>285640.11463844316</v>
      </c>
      <c r="P43" s="111">
        <f t="shared" si="5"/>
        <v>285640.11463844316</v>
      </c>
      <c r="Q43" s="111">
        <f t="shared" si="5"/>
        <v>285640.11463844316</v>
      </c>
      <c r="R43" s="111">
        <f>(SUM(J26:Q26)*$C$24+SUM(K26:Q26)*$C$24)/$C26</f>
        <v>263032.25709749525</v>
      </c>
      <c r="S43" s="111">
        <f t="shared" ref="S43:V47" si="6">(SUM(K26:Q26)*$C$24+SUM(L26:R26)*$C$24)/$C26</f>
        <v>218019.56703948055</v>
      </c>
      <c r="T43" s="111">
        <f t="shared" si="6"/>
        <v>148209.2512226222</v>
      </c>
      <c r="U43" s="111">
        <f t="shared" si="6"/>
        <v>50401.883961415289</v>
      </c>
      <c r="V43" s="111">
        <f t="shared" si="6"/>
        <v>0</v>
      </c>
      <c r="W43" s="112"/>
      <c r="X43" s="129"/>
      <c r="Y43" s="277">
        <f t="shared" ref="Y43:Y50" si="7">SUM(J26:M26)</f>
        <v>2285120.9171075453</v>
      </c>
      <c r="Z43" s="131">
        <f t="shared" ref="Z43:Z50" si="8">SUM(J43:U43)</f>
        <v>2285120.9171075453</v>
      </c>
      <c r="AA43" s="130">
        <f t="shared" ref="AA43:AA50" si="9">Y43-Z43</f>
        <v>0</v>
      </c>
      <c r="AB43" s="278">
        <f>AA43/Y43</f>
        <v>0</v>
      </c>
    </row>
    <row r="44" spans="2:28" s="11" customFormat="1" ht="15">
      <c r="B44" s="114" t="s">
        <v>37</v>
      </c>
      <c r="C44" s="136">
        <v>8</v>
      </c>
      <c r="J44" s="111">
        <f>(SUM(E27:I27)*$C$24+SUM(E27:J27)*$C$24)/$C27</f>
        <v>4595.0929961276279</v>
      </c>
      <c r="K44" s="111">
        <f>(SUM(E27:J27)*$C$24+SUM(E27:K27)*$C$24)/$C27</f>
        <v>42226.802304283949</v>
      </c>
      <c r="L44" s="111">
        <f>(SUM(E27:K27)*$C$24+SUM(E27:L27)*$C$24)/$C27</f>
        <v>154763.29744205016</v>
      </c>
      <c r="M44" s="111">
        <f t="shared" si="5"/>
        <v>291997.29306207784</v>
      </c>
      <c r="N44" s="111">
        <f t="shared" si="5"/>
        <v>349731.40985636797</v>
      </c>
      <c r="O44" s="111">
        <f t="shared" si="5"/>
        <v>349731.40985636797</v>
      </c>
      <c r="P44" s="111">
        <f t="shared" si="5"/>
        <v>349731.40985636797</v>
      </c>
      <c r="Q44" s="111">
        <f t="shared" si="5"/>
        <v>349731.40985636797</v>
      </c>
      <c r="R44" s="111">
        <f>(SUM(J27:Q27)*$C$24+SUM(K27:Q27)*$C$24)/$C27</f>
        <v>345136.3168602403</v>
      </c>
      <c r="S44" s="111">
        <f t="shared" si="6"/>
        <v>307504.60755208402</v>
      </c>
      <c r="T44" s="111">
        <f t="shared" si="6"/>
        <v>194968.11241431779</v>
      </c>
      <c r="U44" s="111">
        <f t="shared" si="6"/>
        <v>57734.116794290137</v>
      </c>
      <c r="V44" s="111">
        <f t="shared" si="6"/>
        <v>0</v>
      </c>
      <c r="W44" s="112"/>
      <c r="X44" s="112"/>
      <c r="Y44" s="277">
        <f t="shared" si="7"/>
        <v>2797851.2788509438</v>
      </c>
      <c r="Z44" s="131">
        <f t="shared" si="8"/>
        <v>2797851.2788509433</v>
      </c>
      <c r="AA44" s="130">
        <f t="shared" si="9"/>
        <v>0</v>
      </c>
      <c r="AB44" s="278">
        <f>AA44/Y44</f>
        <v>0</v>
      </c>
    </row>
    <row r="45" spans="2:28" s="11" customFormat="1" ht="15">
      <c r="B45" s="114" t="s">
        <v>36</v>
      </c>
      <c r="C45" s="136">
        <v>8</v>
      </c>
      <c r="J45" s="111">
        <f>(SUM(E28:I28)*$C$24+SUM(E28:J28)*$C$24)/$C28</f>
        <v>95332.862692994517</v>
      </c>
      <c r="K45" s="111">
        <f>(SUM(E28:J28)*$C$24+SUM(E28:K28)*$C$24)/$C28</f>
        <v>398616.20842643152</v>
      </c>
      <c r="L45" s="111">
        <f>(SUM(E28:K28)*$C$24+SUM(E28:L28)*$C$24)/$C28</f>
        <v>666221.04498574219</v>
      </c>
      <c r="M45" s="111">
        <f t="shared" si="5"/>
        <v>725875.39850461041</v>
      </c>
      <c r="N45" s="111">
        <f t="shared" si="5"/>
        <v>725875.39850461041</v>
      </c>
      <c r="O45" s="111">
        <f t="shared" si="5"/>
        <v>725875.39850461041</v>
      </c>
      <c r="P45" s="111">
        <f t="shared" si="5"/>
        <v>725875.39850461041</v>
      </c>
      <c r="Q45" s="111">
        <f t="shared" si="5"/>
        <v>725875.39850461041</v>
      </c>
      <c r="R45" s="111">
        <f>(SUM(J28:Q28)*$C$24+SUM(K28:Q28)*$C$24)/$C28</f>
        <v>630542.53581161587</v>
      </c>
      <c r="S45" s="111">
        <f t="shared" si="6"/>
        <v>327259.19007817889</v>
      </c>
      <c r="T45" s="111">
        <f t="shared" si="6"/>
        <v>59654.353518868222</v>
      </c>
      <c r="U45" s="111">
        <f t="shared" si="6"/>
        <v>0</v>
      </c>
      <c r="V45" s="111">
        <f t="shared" si="6"/>
        <v>0</v>
      </c>
      <c r="W45" s="112"/>
      <c r="Y45" s="277">
        <f t="shared" si="7"/>
        <v>5807003.1880368832</v>
      </c>
      <c r="Z45" s="131">
        <f t="shared" si="8"/>
        <v>5807003.1880368832</v>
      </c>
      <c r="AA45" s="130">
        <f t="shared" si="9"/>
        <v>0</v>
      </c>
      <c r="AB45" s="278">
        <f>AA45/Y45</f>
        <v>0</v>
      </c>
    </row>
    <row r="46" spans="2:28" s="11" customFormat="1" ht="15">
      <c r="B46" s="114" t="s">
        <v>35</v>
      </c>
      <c r="C46" s="136">
        <v>8</v>
      </c>
      <c r="J46" s="111">
        <f>(SUM(E29:I29)*$C$24+SUM(E29:J29)*$C$24)/$C29</f>
        <v>78729.26000032002</v>
      </c>
      <c r="K46" s="111">
        <f>(SUM(E29:J29)*$C$24+SUM(E29:K29)*$C$24)/$C29</f>
        <v>213560.70115597604</v>
      </c>
      <c r="L46" s="111">
        <f>(SUM(E29:K29)*$C$24+SUM(E29:L29)*$C$24)/$C29</f>
        <v>357996.08100657596</v>
      </c>
      <c r="M46" s="111">
        <f t="shared" si="5"/>
        <v>590664.57168756519</v>
      </c>
      <c r="N46" s="111">
        <f t="shared" si="5"/>
        <v>734999.86367329059</v>
      </c>
      <c r="O46" s="111">
        <f t="shared" si="5"/>
        <v>734999.86367329059</v>
      </c>
      <c r="P46" s="111">
        <f t="shared" si="5"/>
        <v>734999.86367329059</v>
      </c>
      <c r="Q46" s="111">
        <f t="shared" si="5"/>
        <v>734999.86367329059</v>
      </c>
      <c r="R46" s="111">
        <f>(SUM(J29:Q29)*$C$24+SUM(K29:Q29)*$C$24)/$C29</f>
        <v>656270.60367297055</v>
      </c>
      <c r="S46" s="111">
        <f t="shared" si="6"/>
        <v>521439.16251731449</v>
      </c>
      <c r="T46" s="111">
        <f t="shared" si="6"/>
        <v>377003.78266671457</v>
      </c>
      <c r="U46" s="111">
        <f t="shared" si="6"/>
        <v>144335.29198572534</v>
      </c>
      <c r="V46" s="111">
        <f t="shared" si="6"/>
        <v>0</v>
      </c>
      <c r="W46" s="112"/>
      <c r="Y46" s="277">
        <f t="shared" si="7"/>
        <v>5879998.9093863247</v>
      </c>
      <c r="Z46" s="131">
        <f t="shared" si="8"/>
        <v>5879998.9093863247</v>
      </c>
      <c r="AA46" s="130">
        <f t="shared" si="9"/>
        <v>0</v>
      </c>
      <c r="AB46" s="278">
        <f>AA46/Y46</f>
        <v>0</v>
      </c>
    </row>
    <row r="47" spans="2:28" s="11" customFormat="1" ht="15">
      <c r="B47" s="114" t="s">
        <v>17</v>
      </c>
      <c r="C47" s="136">
        <v>8</v>
      </c>
      <c r="J47" s="111">
        <f>(SUM(E30:I30)*$C$24+SUM(E30:J30)*$C$24)/$C30</f>
        <v>0</v>
      </c>
      <c r="K47" s="111">
        <f>(SUM(E30:J30)*$C$24+SUM(E30:K30)*$C$24)/$C30</f>
        <v>0</v>
      </c>
      <c r="L47" s="111">
        <f>(SUM(E30:K30)*$C$24+SUM(E30:L30)*$C$24)/$C30</f>
        <v>0</v>
      </c>
      <c r="M47" s="111">
        <f t="shared" si="5"/>
        <v>0</v>
      </c>
      <c r="N47" s="111">
        <f t="shared" si="5"/>
        <v>0</v>
      </c>
      <c r="O47" s="111">
        <f t="shared" si="5"/>
        <v>0</v>
      </c>
      <c r="P47" s="111">
        <f t="shared" si="5"/>
        <v>0</v>
      </c>
      <c r="Q47" s="111">
        <f t="shared" si="5"/>
        <v>0</v>
      </c>
      <c r="R47" s="111">
        <f>(SUM(J30:Q30)*$C$24+SUM(K30:Q30)*$C$24)/$C30</f>
        <v>0</v>
      </c>
      <c r="S47" s="111">
        <f t="shared" si="6"/>
        <v>0</v>
      </c>
      <c r="T47" s="111">
        <f t="shared" si="6"/>
        <v>0</v>
      </c>
      <c r="U47" s="111">
        <f t="shared" si="6"/>
        <v>0</v>
      </c>
      <c r="V47" s="111">
        <f t="shared" si="6"/>
        <v>0</v>
      </c>
      <c r="W47" s="112"/>
      <c r="Y47" s="277">
        <f t="shared" si="7"/>
        <v>0</v>
      </c>
      <c r="Z47" s="131">
        <f t="shared" si="8"/>
        <v>0</v>
      </c>
      <c r="AA47" s="130">
        <f t="shared" si="9"/>
        <v>0</v>
      </c>
      <c r="AB47" s="278">
        <v>0</v>
      </c>
    </row>
    <row r="48" spans="2:28" s="11" customFormat="1" ht="15">
      <c r="B48" s="114" t="s">
        <v>33</v>
      </c>
      <c r="C48" s="136">
        <v>3</v>
      </c>
      <c r="J48" s="111">
        <f t="shared" ref="J48:V48" si="10">(SUM(G31:I31)*$C$24+SUM(H31:J31)*$C$24)/$C31</f>
        <v>49014.325292028028</v>
      </c>
      <c r="K48" s="111">
        <f t="shared" si="10"/>
        <v>125098.65376821533</v>
      </c>
      <c r="L48" s="111">
        <f t="shared" si="10"/>
        <v>195667.84990986457</v>
      </c>
      <c r="M48" s="111">
        <f t="shared" si="10"/>
        <v>238187.50274817587</v>
      </c>
      <c r="N48" s="111">
        <f t="shared" si="10"/>
        <v>210137.95944483796</v>
      </c>
      <c r="O48" s="111">
        <f t="shared" si="10"/>
        <v>139568.76330318872</v>
      </c>
      <c r="P48" s="111">
        <f t="shared" si="10"/>
        <v>48034.785172849392</v>
      </c>
      <c r="Q48" s="111">
        <f t="shared" si="10"/>
        <v>0</v>
      </c>
      <c r="R48" s="111">
        <f t="shared" si="10"/>
        <v>0</v>
      </c>
      <c r="S48" s="111">
        <f t="shared" si="10"/>
        <v>0</v>
      </c>
      <c r="T48" s="111">
        <f t="shared" si="10"/>
        <v>0</v>
      </c>
      <c r="U48" s="111">
        <f t="shared" si="10"/>
        <v>0</v>
      </c>
      <c r="V48" s="111">
        <f t="shared" si="10"/>
        <v>0</v>
      </c>
      <c r="W48" s="112"/>
      <c r="Y48" s="277">
        <f t="shared" si="7"/>
        <v>1005709.8396391599</v>
      </c>
      <c r="Z48" s="131">
        <f t="shared" si="8"/>
        <v>1005709.83963916</v>
      </c>
      <c r="AA48" s="130">
        <f t="shared" si="9"/>
        <v>0</v>
      </c>
      <c r="AB48" s="278">
        <f>AA48/Y48</f>
        <v>0</v>
      </c>
    </row>
    <row r="49" spans="1:67" s="11" customFormat="1" ht="15">
      <c r="B49" s="114" t="s">
        <v>10</v>
      </c>
      <c r="C49" s="136">
        <v>8</v>
      </c>
      <c r="J49" s="111">
        <f>(SUM(E32:I32)*$C$24+SUM(E32:J32)*$C$24)/$C32</f>
        <v>11640.902256856658</v>
      </c>
      <c r="K49" s="111">
        <f>(SUM(E32:J32)*$C$24+SUM(E32:K32)*$C$24)/$C32</f>
        <v>23281.804513713316</v>
      </c>
      <c r="L49" s="111">
        <f>(SUM(E32:K32)*$C$24+SUM(E32:L32)*$C$24)/$C32</f>
        <v>23281.804513713316</v>
      </c>
      <c r="M49" s="111">
        <f>(SUM(E32:L32)*$C$24+SUM(F32:M32)*$C$24)/$C32</f>
        <v>23281.804513713316</v>
      </c>
      <c r="N49" s="111">
        <f>(SUM(F32:M32)*$C$24+SUM(G32:N32)*$C$24)/$C32</f>
        <v>23281.804513713316</v>
      </c>
      <c r="O49" s="111">
        <f>(SUM(G32:N32)*$C$24+SUM(H32:O32)*$C$24)/$C32</f>
        <v>23281.804513713316</v>
      </c>
      <c r="P49" s="111">
        <f>(SUM(H32:O32)*$C$24+SUM(I32:P32)*$C$24)/$C32</f>
        <v>23281.804513713316</v>
      </c>
      <c r="Q49" s="111">
        <f>(SUM(I32:P32)*$C$24+SUM(J32:Q32)*$C$24)/$C32</f>
        <v>23281.804513713316</v>
      </c>
      <c r="R49" s="111">
        <f>(SUM(J32:Q32)*$C$24+SUM(K32:Q32)*$C$24)/$C32</f>
        <v>11640.902256856658</v>
      </c>
      <c r="S49" s="111">
        <f>(SUM(K32:Q32)*$C$24+SUM(L32:R32)*$C$24)/$C32</f>
        <v>0</v>
      </c>
      <c r="T49" s="111">
        <f>(SUM(L32:R32)*$C$24+SUM(M32:S32)*$C$24)/$C32</f>
        <v>0</v>
      </c>
      <c r="U49" s="111">
        <f>(SUM(M32:S32)*$C$24+SUM(N32:T32)*$C$24)/$C32</f>
        <v>0</v>
      </c>
      <c r="V49" s="111">
        <f>(SUM(N32:T32)*$C$24+SUM(O32:U32)*$C$24)/$C32</f>
        <v>0</v>
      </c>
      <c r="W49" s="112"/>
      <c r="Y49" s="277">
        <f t="shared" si="7"/>
        <v>186254.43610970653</v>
      </c>
      <c r="Z49" s="131">
        <f t="shared" si="8"/>
        <v>186254.43610970653</v>
      </c>
      <c r="AA49" s="130">
        <f t="shared" si="9"/>
        <v>0</v>
      </c>
      <c r="AB49" s="278">
        <f>AA49/Y49</f>
        <v>0</v>
      </c>
    </row>
    <row r="50" spans="1:67" s="11" customFormat="1" ht="15">
      <c r="B50" s="114" t="s">
        <v>32</v>
      </c>
      <c r="C50" s="136">
        <v>5</v>
      </c>
      <c r="J50" s="170">
        <f t="shared" ref="J50:V50" si="11">(SUM(E33:I33)*$C$24+SUM(F33:J33)*$C$24)/$C33</f>
        <v>18625.443610970651</v>
      </c>
      <c r="K50" s="170">
        <f t="shared" si="11"/>
        <v>49264.202244497195</v>
      </c>
      <c r="L50" s="170">
        <f t="shared" si="11"/>
        <v>73055.277093088283</v>
      </c>
      <c r="M50" s="170">
        <f t="shared" si="11"/>
        <v>96379.860277981468</v>
      </c>
      <c r="N50" s="170">
        <f t="shared" si="11"/>
        <v>107926.6836368395</v>
      </c>
      <c r="O50" s="170">
        <f t="shared" si="11"/>
        <v>89301.240025868843</v>
      </c>
      <c r="P50" s="170">
        <f t="shared" si="11"/>
        <v>58662.481392342321</v>
      </c>
      <c r="Q50" s="170">
        <f t="shared" si="11"/>
        <v>34871.40654375124</v>
      </c>
      <c r="R50" s="170">
        <f t="shared" si="11"/>
        <v>11546.823358858028</v>
      </c>
      <c r="S50" s="170">
        <f t="shared" si="11"/>
        <v>0</v>
      </c>
      <c r="T50" s="170">
        <f t="shared" si="11"/>
        <v>0</v>
      </c>
      <c r="U50" s="170">
        <f t="shared" si="11"/>
        <v>0</v>
      </c>
      <c r="V50" s="170">
        <f t="shared" si="11"/>
        <v>0</v>
      </c>
      <c r="W50" s="132"/>
      <c r="Y50" s="277">
        <f t="shared" si="7"/>
        <v>539633.41818419751</v>
      </c>
      <c r="Z50" s="131">
        <f t="shared" si="8"/>
        <v>539633.41818419751</v>
      </c>
      <c r="AA50" s="130">
        <f t="shared" si="9"/>
        <v>0</v>
      </c>
      <c r="AB50" s="278">
        <f>AA50/Y50</f>
        <v>0</v>
      </c>
    </row>
    <row r="51" spans="1:67" s="11" customFormat="1" ht="15.75" thickBot="1">
      <c r="B51" s="120" t="s">
        <v>125</v>
      </c>
      <c r="C51" s="120"/>
      <c r="D51" s="121"/>
      <c r="E51" s="14"/>
      <c r="F51" s="14"/>
      <c r="G51" s="14"/>
      <c r="J51" s="379">
        <f t="shared" ref="J51:U51" si="12">SUM(J43:J50)*-1</f>
        <v>-280545.74439024541</v>
      </c>
      <c r="K51" s="379">
        <f t="shared" si="12"/>
        <v>-919668.92001207988</v>
      </c>
      <c r="L51" s="379">
        <f t="shared" si="12"/>
        <v>-1608416.2183668555</v>
      </c>
      <c r="M51" s="379">
        <f t="shared" si="12"/>
        <v>-2201624.6614711522</v>
      </c>
      <c r="N51" s="379">
        <f t="shared" si="12"/>
        <v>-2437593.2342681033</v>
      </c>
      <c r="O51" s="379">
        <f t="shared" si="12"/>
        <v>-2348398.5945154829</v>
      </c>
      <c r="P51" s="379">
        <f t="shared" si="12"/>
        <v>-2226225.8577516172</v>
      </c>
      <c r="Q51" s="379">
        <f t="shared" si="12"/>
        <v>-2154399.9977301769</v>
      </c>
      <c r="R51" s="379">
        <f t="shared" si="12"/>
        <v>-1918169.4390580365</v>
      </c>
      <c r="S51" s="379">
        <f t="shared" si="12"/>
        <v>-1374222.527187058</v>
      </c>
      <c r="T51" s="379">
        <f t="shared" si="12"/>
        <v>-779835.49982252275</v>
      </c>
      <c r="U51" s="379">
        <f t="shared" si="12"/>
        <v>-252471.29274143078</v>
      </c>
      <c r="V51" s="379">
        <f>SUM(V43:V50)</f>
        <v>0</v>
      </c>
      <c r="W51" s="381"/>
      <c r="Y51" s="279"/>
      <c r="Z51" s="280"/>
      <c r="AA51" s="281"/>
      <c r="AB51" s="282"/>
    </row>
    <row r="52" spans="1:67" s="11" customFormat="1" ht="15.75" thickTop="1">
      <c r="G52" s="112"/>
      <c r="H52" s="112"/>
      <c r="I52" s="112"/>
      <c r="J52" s="112"/>
      <c r="K52" s="112"/>
      <c r="L52" s="112"/>
      <c r="M52" s="112"/>
      <c r="N52" s="112"/>
      <c r="Y52" s="122"/>
    </row>
    <row r="53" spans="1:67" s="11" customFormat="1" ht="26.25">
      <c r="B53" s="103" t="s">
        <v>253</v>
      </c>
      <c r="C53" s="10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</row>
    <row r="54" spans="1:67" s="11" customFormat="1" ht="15"/>
    <row r="55" spans="1:67" s="11" customFormat="1" ht="15">
      <c r="I55" s="11">
        <v>2011</v>
      </c>
      <c r="J55" s="353">
        <v>2012</v>
      </c>
      <c r="K55" s="353">
        <f>J55+1</f>
        <v>2013</v>
      </c>
      <c r="L55" s="353">
        <f>K55+1</f>
        <v>2014</v>
      </c>
      <c r="M55" s="353">
        <f>L55+1</f>
        <v>2015</v>
      </c>
      <c r="N55" s="353">
        <f t="shared" ref="N55:Y55" si="13">M55+1</f>
        <v>2016</v>
      </c>
      <c r="O55" s="353">
        <f t="shared" si="13"/>
        <v>2017</v>
      </c>
      <c r="P55" s="353">
        <f t="shared" si="13"/>
        <v>2018</v>
      </c>
      <c r="Q55" s="353">
        <f t="shared" si="13"/>
        <v>2019</v>
      </c>
      <c r="R55" s="353">
        <f t="shared" si="13"/>
        <v>2020</v>
      </c>
      <c r="S55" s="353">
        <f t="shared" si="13"/>
        <v>2021</v>
      </c>
      <c r="T55" s="353">
        <f t="shared" si="13"/>
        <v>2022</v>
      </c>
      <c r="U55" s="353">
        <f t="shared" si="13"/>
        <v>2023</v>
      </c>
      <c r="V55" s="353">
        <f t="shared" si="13"/>
        <v>2024</v>
      </c>
      <c r="W55" s="353">
        <f t="shared" si="13"/>
        <v>2025</v>
      </c>
      <c r="X55" s="353">
        <f t="shared" si="13"/>
        <v>2026</v>
      </c>
      <c r="Y55" s="353">
        <f t="shared" si="13"/>
        <v>2027</v>
      </c>
      <c r="Z55" s="353">
        <f>Y55+1</f>
        <v>2028</v>
      </c>
      <c r="AA55" s="353">
        <f>Z55+1</f>
        <v>2029</v>
      </c>
      <c r="AB55" s="353">
        <f>AA55+1</f>
        <v>2030</v>
      </c>
      <c r="AC55" s="353">
        <f>AB55+1</f>
        <v>2031</v>
      </c>
      <c r="AD55" s="353">
        <f>AC55+1</f>
        <v>2032</v>
      </c>
      <c r="AE55" s="353">
        <f t="shared" ref="AE55:BG55" si="14">AD55+1</f>
        <v>2033</v>
      </c>
      <c r="AF55" s="353">
        <f t="shared" si="14"/>
        <v>2034</v>
      </c>
      <c r="AG55" s="353">
        <f t="shared" si="14"/>
        <v>2035</v>
      </c>
      <c r="AH55" s="353">
        <f t="shared" si="14"/>
        <v>2036</v>
      </c>
      <c r="AI55" s="353">
        <f t="shared" si="14"/>
        <v>2037</v>
      </c>
      <c r="AJ55" s="353">
        <f t="shared" si="14"/>
        <v>2038</v>
      </c>
      <c r="AK55" s="353">
        <f t="shared" si="14"/>
        <v>2039</v>
      </c>
      <c r="AL55" s="353">
        <f t="shared" si="14"/>
        <v>2040</v>
      </c>
      <c r="AM55" s="353">
        <f t="shared" si="14"/>
        <v>2041</v>
      </c>
      <c r="AN55" s="353">
        <f t="shared" si="14"/>
        <v>2042</v>
      </c>
      <c r="AO55" s="353">
        <f t="shared" si="14"/>
        <v>2043</v>
      </c>
      <c r="AP55" s="353">
        <f t="shared" si="14"/>
        <v>2044</v>
      </c>
      <c r="AQ55" s="353">
        <f t="shared" si="14"/>
        <v>2045</v>
      </c>
      <c r="AR55" s="353">
        <f t="shared" si="14"/>
        <v>2046</v>
      </c>
      <c r="AS55" s="353">
        <f t="shared" si="14"/>
        <v>2047</v>
      </c>
      <c r="AT55" s="353">
        <f t="shared" si="14"/>
        <v>2048</v>
      </c>
      <c r="AU55" s="353">
        <f t="shared" si="14"/>
        <v>2049</v>
      </c>
      <c r="AV55" s="353">
        <f t="shared" si="14"/>
        <v>2050</v>
      </c>
      <c r="AW55" s="353">
        <f t="shared" si="14"/>
        <v>2051</v>
      </c>
      <c r="AX55" s="353">
        <f t="shared" si="14"/>
        <v>2052</v>
      </c>
      <c r="AY55" s="353">
        <f t="shared" si="14"/>
        <v>2053</v>
      </c>
      <c r="AZ55" s="353">
        <f t="shared" si="14"/>
        <v>2054</v>
      </c>
      <c r="BA55" s="353">
        <f t="shared" si="14"/>
        <v>2055</v>
      </c>
      <c r="BB55" s="353">
        <f t="shared" si="14"/>
        <v>2056</v>
      </c>
      <c r="BC55" s="353">
        <f t="shared" si="14"/>
        <v>2057</v>
      </c>
      <c r="BD55" s="353">
        <f t="shared" si="14"/>
        <v>2058</v>
      </c>
      <c r="BE55" s="353">
        <f t="shared" si="14"/>
        <v>2059</v>
      </c>
      <c r="BF55" s="353">
        <f t="shared" si="14"/>
        <v>2060</v>
      </c>
      <c r="BG55" s="353">
        <f t="shared" si="14"/>
        <v>2061</v>
      </c>
    </row>
    <row r="56" spans="1:67" s="11" customFormat="1" ht="15">
      <c r="B56" s="11" t="s">
        <v>256</v>
      </c>
      <c r="J56" s="154">
        <f>-J67</f>
        <v>-113842.87571045069</v>
      </c>
      <c r="K56" s="154">
        <f>-K67</f>
        <v>-120218.07675023592</v>
      </c>
      <c r="L56" s="154">
        <f>-L67</f>
        <v>-126950.28904824913</v>
      </c>
      <c r="M56" s="154">
        <f>-M67</f>
        <v>-134059.5052349511</v>
      </c>
      <c r="N56" s="154">
        <f t="shared" ref="N56:Y56" si="15">-N67</f>
        <v>-141566.83752810836</v>
      </c>
      <c r="O56" s="154">
        <f t="shared" si="15"/>
        <v>-149494.58042968242</v>
      </c>
      <c r="P56" s="154">
        <f t="shared" si="15"/>
        <v>-157866.27693374461</v>
      </c>
      <c r="Q56" s="154">
        <f t="shared" si="15"/>
        <v>-166706.78844203433</v>
      </c>
      <c r="R56" s="154">
        <f t="shared" si="15"/>
        <v>-176042.36859478825</v>
      </c>
      <c r="S56" s="154">
        <f t="shared" si="15"/>
        <v>-185900.74123609636</v>
      </c>
      <c r="T56" s="154">
        <f t="shared" si="15"/>
        <v>-196311.18274531778</v>
      </c>
      <c r="U56" s="154">
        <f t="shared" si="15"/>
        <v>-207304.6089790556</v>
      </c>
      <c r="V56" s="154">
        <f t="shared" si="15"/>
        <v>-218913.66708188271</v>
      </c>
      <c r="W56" s="154">
        <f t="shared" si="15"/>
        <v>-231172.83243846812</v>
      </c>
      <c r="X56" s="154">
        <f t="shared" si="15"/>
        <v>-244118.51105502233</v>
      </c>
      <c r="Y56" s="154">
        <f t="shared" si="15"/>
        <v>-257789.14767410359</v>
      </c>
      <c r="Z56" s="154">
        <f>-Z67</f>
        <v>-272225.33994385338</v>
      </c>
      <c r="AA56" s="154">
        <f>-AA67</f>
        <v>0</v>
      </c>
      <c r="AB56" s="154">
        <f>-AB67</f>
        <v>0</v>
      </c>
      <c r="AC56" s="154">
        <f>-AC67</f>
        <v>0</v>
      </c>
      <c r="AD56" s="154">
        <f>-AD67</f>
        <v>0</v>
      </c>
      <c r="AE56" s="154">
        <f t="shared" ref="AE56:BG56" si="16">-AE67</f>
        <v>0</v>
      </c>
      <c r="AF56" s="154">
        <f t="shared" si="16"/>
        <v>0</v>
      </c>
      <c r="AG56" s="154">
        <f t="shared" si="16"/>
        <v>0</v>
      </c>
      <c r="AH56" s="154">
        <f t="shared" si="16"/>
        <v>0</v>
      </c>
      <c r="AI56" s="154">
        <f t="shared" si="16"/>
        <v>0</v>
      </c>
      <c r="AJ56" s="154">
        <f t="shared" si="16"/>
        <v>0</v>
      </c>
      <c r="AK56" s="154">
        <f t="shared" si="16"/>
        <v>0</v>
      </c>
      <c r="AL56" s="154">
        <f t="shared" si="16"/>
        <v>0</v>
      </c>
      <c r="AM56" s="154">
        <f t="shared" si="16"/>
        <v>0</v>
      </c>
      <c r="AN56" s="154">
        <f t="shared" si="16"/>
        <v>0</v>
      </c>
      <c r="AO56" s="154">
        <f t="shared" si="16"/>
        <v>0</v>
      </c>
      <c r="AP56" s="154">
        <f t="shared" si="16"/>
        <v>0</v>
      </c>
      <c r="AQ56" s="154">
        <f t="shared" si="16"/>
        <v>0</v>
      </c>
      <c r="AR56" s="154">
        <f t="shared" si="16"/>
        <v>0</v>
      </c>
      <c r="AS56" s="154">
        <f t="shared" si="16"/>
        <v>0</v>
      </c>
      <c r="AT56" s="154">
        <f t="shared" si="16"/>
        <v>0</v>
      </c>
      <c r="AU56" s="154">
        <f t="shared" si="16"/>
        <v>0</v>
      </c>
      <c r="AV56" s="154">
        <f t="shared" si="16"/>
        <v>0</v>
      </c>
      <c r="AW56" s="154">
        <f t="shared" si="16"/>
        <v>0</v>
      </c>
      <c r="AX56" s="154">
        <f t="shared" si="16"/>
        <v>0</v>
      </c>
      <c r="AY56" s="154">
        <f t="shared" si="16"/>
        <v>0</v>
      </c>
      <c r="AZ56" s="154">
        <f t="shared" si="16"/>
        <v>0</v>
      </c>
      <c r="BA56" s="154">
        <f t="shared" si="16"/>
        <v>0</v>
      </c>
      <c r="BB56" s="154">
        <f t="shared" si="16"/>
        <v>0</v>
      </c>
      <c r="BC56" s="154">
        <f t="shared" si="16"/>
        <v>0</v>
      </c>
      <c r="BD56" s="154">
        <f t="shared" si="16"/>
        <v>0</v>
      </c>
      <c r="BE56" s="154">
        <f t="shared" si="16"/>
        <v>0</v>
      </c>
      <c r="BF56" s="154">
        <f t="shared" si="16"/>
        <v>0</v>
      </c>
      <c r="BG56" s="154">
        <f t="shared" si="16"/>
        <v>0</v>
      </c>
    </row>
    <row r="57" spans="1:67" s="11" customFormat="1" ht="15">
      <c r="B57" s="11" t="s">
        <v>262</v>
      </c>
      <c r="J57" s="154">
        <v>-3757673.7781087249</v>
      </c>
      <c r="K57" s="154">
        <v>-3660819.688972251</v>
      </c>
      <c r="L57" s="154">
        <v>-3423327.0707307262</v>
      </c>
      <c r="M57" s="154">
        <v>-2675507.8383560269</v>
      </c>
      <c r="N57" s="154">
        <v>-1682206.3891264347</v>
      </c>
      <c r="O57" s="154">
        <v>-1025691.7138783833</v>
      </c>
      <c r="P57" s="154">
        <v>-491756.19573453441</v>
      </c>
      <c r="Q57" s="154">
        <v>-87273.76863702033</v>
      </c>
      <c r="R57" s="154">
        <v>0</v>
      </c>
      <c r="S57" s="154">
        <v>0</v>
      </c>
      <c r="T57" s="154">
        <v>0</v>
      </c>
      <c r="U57" s="154">
        <v>0</v>
      </c>
      <c r="V57" s="154">
        <v>0</v>
      </c>
      <c r="W57" s="154">
        <v>0</v>
      </c>
      <c r="X57" s="154">
        <v>0</v>
      </c>
      <c r="Y57" s="154">
        <v>0</v>
      </c>
      <c r="Z57" s="154">
        <v>0</v>
      </c>
      <c r="AA57" s="154">
        <v>0</v>
      </c>
      <c r="AB57" s="154">
        <v>0</v>
      </c>
      <c r="AC57" s="154">
        <v>0</v>
      </c>
      <c r="AD57" s="154">
        <v>0</v>
      </c>
      <c r="AE57" s="154">
        <v>0</v>
      </c>
      <c r="AF57" s="154">
        <v>0</v>
      </c>
      <c r="AG57" s="154">
        <v>0</v>
      </c>
      <c r="AH57" s="154">
        <v>0</v>
      </c>
      <c r="AI57" s="154">
        <v>0</v>
      </c>
      <c r="AJ57" s="154">
        <v>0</v>
      </c>
      <c r="AK57" s="154">
        <v>0</v>
      </c>
      <c r="AL57" s="154">
        <v>0</v>
      </c>
      <c r="AM57" s="154">
        <v>0</v>
      </c>
      <c r="AN57" s="154">
        <v>0</v>
      </c>
      <c r="AO57" s="154">
        <v>0</v>
      </c>
      <c r="AP57" s="154">
        <v>0</v>
      </c>
      <c r="AQ57" s="154">
        <v>0</v>
      </c>
      <c r="AR57" s="154">
        <v>0</v>
      </c>
      <c r="AS57" s="154">
        <v>0</v>
      </c>
      <c r="AT57" s="154">
        <v>0</v>
      </c>
      <c r="AU57" s="154">
        <v>0</v>
      </c>
      <c r="AV57" s="154">
        <v>0</v>
      </c>
      <c r="AW57" s="154">
        <v>0</v>
      </c>
      <c r="AX57" s="154">
        <v>0</v>
      </c>
      <c r="AY57" s="154">
        <v>0</v>
      </c>
      <c r="AZ57" s="154">
        <v>0</v>
      </c>
      <c r="BA57" s="154">
        <v>0</v>
      </c>
      <c r="BB57" s="154">
        <v>0</v>
      </c>
      <c r="BC57" s="154">
        <v>0</v>
      </c>
      <c r="BD57" s="154">
        <v>0</v>
      </c>
      <c r="BE57" s="154">
        <v>0</v>
      </c>
      <c r="BF57" s="154">
        <v>0</v>
      </c>
      <c r="BG57" s="154">
        <v>0</v>
      </c>
    </row>
    <row r="58" spans="1:67" s="11" customFormat="1" ht="15">
      <c r="B58" s="105" t="s">
        <v>252</v>
      </c>
      <c r="C58" s="105"/>
      <c r="E58" s="111"/>
      <c r="F58" s="111"/>
      <c r="G58" s="111"/>
      <c r="H58" s="111"/>
      <c r="I58" s="111"/>
      <c r="J58" s="379">
        <f t="shared" ref="J58:AD58" si="17">J51+J56+J57</f>
        <v>-4152062.398209421</v>
      </c>
      <c r="K58" s="379">
        <f t="shared" si="17"/>
        <v>-4700706.6857345663</v>
      </c>
      <c r="L58" s="379">
        <f t="shared" si="17"/>
        <v>-5158693.5781458309</v>
      </c>
      <c r="M58" s="379">
        <f t="shared" si="17"/>
        <v>-5011192.0050621303</v>
      </c>
      <c r="N58" s="379">
        <f t="shared" si="17"/>
        <v>-4261366.4609226463</v>
      </c>
      <c r="O58" s="379">
        <f t="shared" si="17"/>
        <v>-3523584.8888235488</v>
      </c>
      <c r="P58" s="379">
        <f t="shared" si="17"/>
        <v>-2875848.3304198962</v>
      </c>
      <c r="Q58" s="379">
        <f t="shared" si="17"/>
        <v>-2408380.5548092313</v>
      </c>
      <c r="R58" s="379">
        <f t="shared" si="17"/>
        <v>-2094211.8076528248</v>
      </c>
      <c r="S58" s="379">
        <f t="shared" si="17"/>
        <v>-1560123.2684231545</v>
      </c>
      <c r="T58" s="379">
        <f t="shared" si="17"/>
        <v>-976146.68256784056</v>
      </c>
      <c r="U58" s="379">
        <f t="shared" si="17"/>
        <v>-459775.90172048635</v>
      </c>
      <c r="V58" s="379">
        <f t="shared" si="17"/>
        <v>-218913.66708188271</v>
      </c>
      <c r="W58" s="379">
        <f t="shared" si="17"/>
        <v>-231172.83243846812</v>
      </c>
      <c r="X58" s="379">
        <f t="shared" si="17"/>
        <v>-244118.51105502233</v>
      </c>
      <c r="Y58" s="379">
        <f t="shared" si="17"/>
        <v>-257789.14767410359</v>
      </c>
      <c r="Z58" s="379">
        <f t="shared" si="17"/>
        <v>-272225.33994385338</v>
      </c>
      <c r="AA58" s="379">
        <f t="shared" si="17"/>
        <v>0</v>
      </c>
      <c r="AB58" s="379">
        <f t="shared" si="17"/>
        <v>0</v>
      </c>
      <c r="AC58" s="379">
        <f t="shared" si="17"/>
        <v>0</v>
      </c>
      <c r="AD58" s="379">
        <f t="shared" si="17"/>
        <v>0</v>
      </c>
      <c r="AE58" s="379">
        <f t="shared" ref="AE58:BG58" si="18">AE51+AE56+AE57</f>
        <v>0</v>
      </c>
      <c r="AF58" s="379">
        <f t="shared" si="18"/>
        <v>0</v>
      </c>
      <c r="AG58" s="379">
        <f t="shared" si="18"/>
        <v>0</v>
      </c>
      <c r="AH58" s="379">
        <f t="shared" si="18"/>
        <v>0</v>
      </c>
      <c r="AI58" s="379">
        <f t="shared" si="18"/>
        <v>0</v>
      </c>
      <c r="AJ58" s="379">
        <f t="shared" si="18"/>
        <v>0</v>
      </c>
      <c r="AK58" s="379">
        <f t="shared" si="18"/>
        <v>0</v>
      </c>
      <c r="AL58" s="379">
        <f t="shared" si="18"/>
        <v>0</v>
      </c>
      <c r="AM58" s="379">
        <f t="shared" si="18"/>
        <v>0</v>
      </c>
      <c r="AN58" s="379">
        <f t="shared" si="18"/>
        <v>0</v>
      </c>
      <c r="AO58" s="379">
        <f t="shared" si="18"/>
        <v>0</v>
      </c>
      <c r="AP58" s="379">
        <f t="shared" si="18"/>
        <v>0</v>
      </c>
      <c r="AQ58" s="379">
        <f t="shared" si="18"/>
        <v>0</v>
      </c>
      <c r="AR58" s="379">
        <f t="shared" si="18"/>
        <v>0</v>
      </c>
      <c r="AS58" s="379">
        <f t="shared" si="18"/>
        <v>0</v>
      </c>
      <c r="AT58" s="379">
        <f t="shared" si="18"/>
        <v>0</v>
      </c>
      <c r="AU58" s="379">
        <f t="shared" si="18"/>
        <v>0</v>
      </c>
      <c r="AV58" s="379">
        <f t="shared" si="18"/>
        <v>0</v>
      </c>
      <c r="AW58" s="379">
        <f t="shared" si="18"/>
        <v>0</v>
      </c>
      <c r="AX58" s="379">
        <f t="shared" si="18"/>
        <v>0</v>
      </c>
      <c r="AY58" s="379">
        <f t="shared" si="18"/>
        <v>0</v>
      </c>
      <c r="AZ58" s="379">
        <f t="shared" si="18"/>
        <v>0</v>
      </c>
      <c r="BA58" s="379">
        <f t="shared" si="18"/>
        <v>0</v>
      </c>
      <c r="BB58" s="379">
        <f t="shared" si="18"/>
        <v>0</v>
      </c>
      <c r="BC58" s="379">
        <f t="shared" si="18"/>
        <v>0</v>
      </c>
      <c r="BD58" s="379">
        <f t="shared" si="18"/>
        <v>0</v>
      </c>
      <c r="BE58" s="379">
        <f t="shared" si="18"/>
        <v>0</v>
      </c>
      <c r="BF58" s="379">
        <f t="shared" si="18"/>
        <v>0</v>
      </c>
      <c r="BG58" s="379">
        <f t="shared" si="18"/>
        <v>0</v>
      </c>
    </row>
    <row r="61" spans="1:67" s="11" customFormat="1" ht="15"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34"/>
      <c r="AJ61" s="134"/>
      <c r="AK61" s="158"/>
      <c r="AL61" s="168"/>
      <c r="AM61" s="168"/>
      <c r="AN61" s="168"/>
      <c r="AO61" s="134"/>
      <c r="AP61" s="134"/>
      <c r="AQ61" s="158"/>
    </row>
    <row r="62" spans="1:67" s="11" customFormat="1" ht="26.25">
      <c r="B62" s="101" t="s">
        <v>254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</row>
    <row r="63" spans="1:67" s="11" customFormat="1" ht="15">
      <c r="B63" s="328"/>
      <c r="C63" s="252"/>
      <c r="D63" s="336"/>
      <c r="E63" s="336"/>
      <c r="F63" s="336"/>
      <c r="G63" s="336"/>
      <c r="H63" s="336"/>
      <c r="I63" s="336"/>
    </row>
    <row r="64" spans="1:67" ht="15">
      <c r="A64" s="11"/>
      <c r="B64" s="105" t="s">
        <v>30</v>
      </c>
      <c r="C64" s="252"/>
      <c r="D64" s="352"/>
      <c r="E64" s="143"/>
      <c r="F64" s="143"/>
      <c r="G64" s="143"/>
      <c r="H64" s="143"/>
      <c r="I64" s="143"/>
      <c r="J64" s="143">
        <v>2012</v>
      </c>
      <c r="K64" s="143">
        <f t="shared" ref="K64:AC64" si="19">J64+1</f>
        <v>2013</v>
      </c>
      <c r="L64" s="143">
        <f t="shared" si="19"/>
        <v>2014</v>
      </c>
      <c r="M64" s="143">
        <f t="shared" si="19"/>
        <v>2015</v>
      </c>
      <c r="N64" s="143">
        <f t="shared" si="19"/>
        <v>2016</v>
      </c>
      <c r="O64" s="143">
        <f t="shared" si="19"/>
        <v>2017</v>
      </c>
      <c r="P64" s="143">
        <f t="shared" si="19"/>
        <v>2018</v>
      </c>
      <c r="Q64" s="143">
        <f t="shared" si="19"/>
        <v>2019</v>
      </c>
      <c r="R64" s="143">
        <f t="shared" si="19"/>
        <v>2020</v>
      </c>
      <c r="S64" s="143">
        <f t="shared" si="19"/>
        <v>2021</v>
      </c>
      <c r="T64" s="143">
        <f t="shared" si="19"/>
        <v>2022</v>
      </c>
      <c r="U64" s="143">
        <f t="shared" si="19"/>
        <v>2023</v>
      </c>
      <c r="V64" s="143">
        <f t="shared" si="19"/>
        <v>2024</v>
      </c>
      <c r="W64" s="143">
        <f t="shared" si="19"/>
        <v>2025</v>
      </c>
      <c r="X64" s="143">
        <f t="shared" si="19"/>
        <v>2026</v>
      </c>
      <c r="Y64" s="143">
        <f t="shared" si="19"/>
        <v>2027</v>
      </c>
      <c r="Z64" s="143">
        <f t="shared" si="19"/>
        <v>2028</v>
      </c>
      <c r="AA64" s="143">
        <f t="shared" si="19"/>
        <v>2029</v>
      </c>
      <c r="AB64" s="143">
        <f t="shared" si="19"/>
        <v>2030</v>
      </c>
      <c r="AC64" s="143">
        <f t="shared" si="19"/>
        <v>2031</v>
      </c>
      <c r="AD64" s="143">
        <f t="shared" ref="AD64" si="20">AC64+1</f>
        <v>2032</v>
      </c>
      <c r="AE64" s="143">
        <f t="shared" ref="AE64" si="21">AD64+1</f>
        <v>2033</v>
      </c>
      <c r="AF64" s="143">
        <f t="shared" ref="AF64" si="22">AE64+1</f>
        <v>2034</v>
      </c>
      <c r="AG64" s="143">
        <f t="shared" ref="AG64" si="23">AF64+1</f>
        <v>2035</v>
      </c>
      <c r="AH64" s="143">
        <f t="shared" ref="AH64" si="24">AG64+1</f>
        <v>2036</v>
      </c>
      <c r="AI64" s="143">
        <f t="shared" ref="AI64" si="25">AH64+1</f>
        <v>2037</v>
      </c>
      <c r="AJ64" s="143">
        <f t="shared" ref="AJ64" si="26">AI64+1</f>
        <v>2038</v>
      </c>
      <c r="AK64" s="143">
        <f t="shared" ref="AK64" si="27">AJ64+1</f>
        <v>2039</v>
      </c>
      <c r="AL64" s="143">
        <f t="shared" ref="AL64" si="28">AK64+1</f>
        <v>2040</v>
      </c>
      <c r="AM64" s="143">
        <f t="shared" ref="AM64" si="29">AL64+1</f>
        <v>2041</v>
      </c>
      <c r="AN64" s="143">
        <f t="shared" ref="AN64" si="30">AM64+1</f>
        <v>2042</v>
      </c>
      <c r="AO64" s="143">
        <f t="shared" ref="AO64" si="31">AN64+1</f>
        <v>2043</v>
      </c>
      <c r="AP64" s="143">
        <f t="shared" ref="AP64" si="32">AO64+1</f>
        <v>2044</v>
      </c>
      <c r="AQ64" s="143">
        <f t="shared" ref="AQ64" si="33">AP64+1</f>
        <v>2045</v>
      </c>
      <c r="AR64" s="143">
        <f t="shared" ref="AR64" si="34">AQ64+1</f>
        <v>2046</v>
      </c>
      <c r="AS64" s="143">
        <f t="shared" ref="AS64" si="35">AR64+1</f>
        <v>2047</v>
      </c>
      <c r="AT64" s="143">
        <f t="shared" ref="AT64" si="36">AS64+1</f>
        <v>2048</v>
      </c>
      <c r="AU64" s="143">
        <f t="shared" ref="AU64" si="37">AT64+1</f>
        <v>2049</v>
      </c>
      <c r="AV64" s="143">
        <f t="shared" ref="AV64" si="38">AU64+1</f>
        <v>2050</v>
      </c>
      <c r="AW64" s="143">
        <f t="shared" ref="AW64" si="39">AV64+1</f>
        <v>2051</v>
      </c>
      <c r="AX64" s="143">
        <f t="shared" ref="AX64" si="40">AW64+1</f>
        <v>2052</v>
      </c>
      <c r="AY64" s="143">
        <f t="shared" ref="AY64" si="41">AX64+1</f>
        <v>2053</v>
      </c>
      <c r="AZ64" s="143">
        <f t="shared" ref="AZ64" si="42">AY64+1</f>
        <v>2054</v>
      </c>
      <c r="BA64" s="143">
        <f t="shared" ref="BA64" si="43">AZ64+1</f>
        <v>2055</v>
      </c>
      <c r="BB64" s="143">
        <f t="shared" ref="BB64" si="44">BA64+1</f>
        <v>2056</v>
      </c>
      <c r="BC64" s="143">
        <f t="shared" ref="BC64" si="45">BB64+1</f>
        <v>2057</v>
      </c>
      <c r="BD64" s="143">
        <f t="shared" ref="BD64" si="46">BC64+1</f>
        <v>2058</v>
      </c>
      <c r="BE64" s="143">
        <f t="shared" ref="BE64" si="47">BD64+1</f>
        <v>2059</v>
      </c>
      <c r="BF64" s="143">
        <f t="shared" ref="BF64" si="48">BE64+1</f>
        <v>2060</v>
      </c>
      <c r="BG64" s="143">
        <f t="shared" ref="BG64" si="49">BF64+1</f>
        <v>2061</v>
      </c>
      <c r="BH64" s="11"/>
      <c r="BI64" s="11"/>
      <c r="BJ64" s="11"/>
      <c r="BK64" s="11"/>
      <c r="BL64" s="11"/>
      <c r="BM64" s="11"/>
      <c r="BN64" s="11"/>
      <c r="BO64" s="11"/>
    </row>
    <row r="65" spans="1:69" ht="15">
      <c r="A65" s="11"/>
      <c r="B65" s="11" t="s">
        <v>203</v>
      </c>
      <c r="C65" s="136">
        <v>17</v>
      </c>
      <c r="F65" s="11"/>
      <c r="G65" s="11"/>
      <c r="H65" s="11"/>
      <c r="I65" s="11"/>
      <c r="J65" s="111">
        <f t="shared" ref="J65:AC65" si="50">IF(2011+$C$65&gt;=J64,1,0)</f>
        <v>1</v>
      </c>
      <c r="K65" s="111">
        <f t="shared" si="50"/>
        <v>1</v>
      </c>
      <c r="L65" s="111">
        <f t="shared" si="50"/>
        <v>1</v>
      </c>
      <c r="M65" s="111">
        <f t="shared" si="50"/>
        <v>1</v>
      </c>
      <c r="N65" s="111">
        <f t="shared" si="50"/>
        <v>1</v>
      </c>
      <c r="O65" s="111">
        <f t="shared" si="50"/>
        <v>1</v>
      </c>
      <c r="P65" s="111">
        <f t="shared" si="50"/>
        <v>1</v>
      </c>
      <c r="Q65" s="111">
        <f t="shared" si="50"/>
        <v>1</v>
      </c>
      <c r="R65" s="111">
        <f t="shared" si="50"/>
        <v>1</v>
      </c>
      <c r="S65" s="111">
        <f t="shared" si="50"/>
        <v>1</v>
      </c>
      <c r="T65" s="111">
        <f t="shared" si="50"/>
        <v>1</v>
      </c>
      <c r="U65" s="111">
        <f t="shared" si="50"/>
        <v>1</v>
      </c>
      <c r="V65" s="111">
        <f t="shared" si="50"/>
        <v>1</v>
      </c>
      <c r="W65" s="111">
        <f t="shared" si="50"/>
        <v>1</v>
      </c>
      <c r="X65" s="111">
        <f t="shared" si="50"/>
        <v>1</v>
      </c>
      <c r="Y65" s="111">
        <f t="shared" si="50"/>
        <v>1</v>
      </c>
      <c r="Z65" s="111">
        <f t="shared" si="50"/>
        <v>1</v>
      </c>
      <c r="AA65" s="111">
        <f t="shared" si="50"/>
        <v>0</v>
      </c>
      <c r="AB65" s="111">
        <f t="shared" si="50"/>
        <v>0</v>
      </c>
      <c r="AC65" s="111">
        <f t="shared" si="50"/>
        <v>0</v>
      </c>
      <c r="AD65" s="111">
        <f t="shared" ref="AD65:BG65" si="51">IF(2011+$C$65&gt;=AD64,1,0)</f>
        <v>0</v>
      </c>
      <c r="AE65" s="111">
        <f t="shared" si="51"/>
        <v>0</v>
      </c>
      <c r="AF65" s="111">
        <f t="shared" si="51"/>
        <v>0</v>
      </c>
      <c r="AG65" s="111">
        <f t="shared" si="51"/>
        <v>0</v>
      </c>
      <c r="AH65" s="111">
        <f t="shared" si="51"/>
        <v>0</v>
      </c>
      <c r="AI65" s="111">
        <f t="shared" si="51"/>
        <v>0</v>
      </c>
      <c r="AJ65" s="111">
        <f t="shared" si="51"/>
        <v>0</v>
      </c>
      <c r="AK65" s="111">
        <f t="shared" si="51"/>
        <v>0</v>
      </c>
      <c r="AL65" s="111">
        <f t="shared" si="51"/>
        <v>0</v>
      </c>
      <c r="AM65" s="111">
        <f t="shared" si="51"/>
        <v>0</v>
      </c>
      <c r="AN65" s="111">
        <f t="shared" si="51"/>
        <v>0</v>
      </c>
      <c r="AO65" s="111">
        <f t="shared" si="51"/>
        <v>0</v>
      </c>
      <c r="AP65" s="111">
        <f t="shared" si="51"/>
        <v>0</v>
      </c>
      <c r="AQ65" s="111">
        <f t="shared" si="51"/>
        <v>0</v>
      </c>
      <c r="AR65" s="111">
        <f t="shared" si="51"/>
        <v>0</v>
      </c>
      <c r="AS65" s="111">
        <f t="shared" si="51"/>
        <v>0</v>
      </c>
      <c r="AT65" s="111">
        <f t="shared" si="51"/>
        <v>0</v>
      </c>
      <c r="AU65" s="111">
        <f t="shared" si="51"/>
        <v>0</v>
      </c>
      <c r="AV65" s="111">
        <f t="shared" si="51"/>
        <v>0</v>
      </c>
      <c r="AW65" s="111">
        <f t="shared" si="51"/>
        <v>0</v>
      </c>
      <c r="AX65" s="111">
        <f t="shared" si="51"/>
        <v>0</v>
      </c>
      <c r="AY65" s="111">
        <f t="shared" si="51"/>
        <v>0</v>
      </c>
      <c r="AZ65" s="111">
        <f t="shared" si="51"/>
        <v>0</v>
      </c>
      <c r="BA65" s="111">
        <f t="shared" si="51"/>
        <v>0</v>
      </c>
      <c r="BB65" s="111">
        <f t="shared" si="51"/>
        <v>0</v>
      </c>
      <c r="BC65" s="111">
        <f t="shared" si="51"/>
        <v>0</v>
      </c>
      <c r="BD65" s="111">
        <f t="shared" si="51"/>
        <v>0</v>
      </c>
      <c r="BE65" s="111">
        <f t="shared" si="51"/>
        <v>0</v>
      </c>
      <c r="BF65" s="111">
        <f t="shared" si="51"/>
        <v>0</v>
      </c>
      <c r="BG65" s="111">
        <f t="shared" si="51"/>
        <v>0</v>
      </c>
      <c r="BH65" s="11"/>
      <c r="BI65" s="11"/>
      <c r="BJ65" s="11"/>
      <c r="BK65" s="11"/>
      <c r="BL65" s="11"/>
      <c r="BM65" s="11"/>
      <c r="BN65" s="11"/>
      <c r="BO65" s="11"/>
    </row>
    <row r="66" spans="1:69" ht="15">
      <c r="A66" s="11"/>
      <c r="B66" s="11" t="s">
        <v>4</v>
      </c>
      <c r="C66" s="11"/>
      <c r="D66" s="11"/>
      <c r="E66" s="11"/>
      <c r="F66" s="11"/>
      <c r="G66" s="11"/>
      <c r="H66" s="336"/>
      <c r="I66" s="336"/>
      <c r="J66" s="111">
        <f>'Opening RAB'!J84</f>
        <v>3100483.6298260447</v>
      </c>
      <c r="K66" s="111">
        <f>J70</f>
        <v>2986640.7541155941</v>
      </c>
      <c r="L66" s="111">
        <f t="shared" ref="L66:AC66" si="52">K70</f>
        <v>2866422.677365358</v>
      </c>
      <c r="M66" s="111">
        <f t="shared" si="52"/>
        <v>2739472.3883171091</v>
      </c>
      <c r="N66" s="111">
        <f t="shared" si="52"/>
        <v>2605412.8830821579</v>
      </c>
      <c r="O66" s="111">
        <f t="shared" si="52"/>
        <v>2463846.0455540498</v>
      </c>
      <c r="P66" s="111">
        <f t="shared" si="52"/>
        <v>2314351.4651243673</v>
      </c>
      <c r="Q66" s="111">
        <f t="shared" si="52"/>
        <v>2156485.1881906227</v>
      </c>
      <c r="R66" s="111">
        <f t="shared" si="52"/>
        <v>1989778.3997485884</v>
      </c>
      <c r="S66" s="111">
        <f t="shared" si="52"/>
        <v>1813736.0311538002</v>
      </c>
      <c r="T66" s="111">
        <f t="shared" si="52"/>
        <v>1627835.2899177037</v>
      </c>
      <c r="U66" s="111">
        <f t="shared" si="52"/>
        <v>1431524.107172386</v>
      </c>
      <c r="V66" s="111">
        <f t="shared" si="52"/>
        <v>1224219.4981933304</v>
      </c>
      <c r="W66" s="111">
        <f t="shared" si="52"/>
        <v>1005305.8311114477</v>
      </c>
      <c r="X66" s="111">
        <f t="shared" si="52"/>
        <v>774132.99867297953</v>
      </c>
      <c r="Y66" s="111">
        <f t="shared" si="52"/>
        <v>530014.48761795717</v>
      </c>
      <c r="Z66" s="111">
        <f t="shared" si="52"/>
        <v>272225.33994385356</v>
      </c>
      <c r="AA66" s="111">
        <f t="shared" si="52"/>
        <v>0</v>
      </c>
      <c r="AB66" s="111">
        <f t="shared" si="52"/>
        <v>0</v>
      </c>
      <c r="AC66" s="111">
        <f t="shared" si="52"/>
        <v>0</v>
      </c>
      <c r="AD66" s="111">
        <f t="shared" ref="AD66" si="53">AC70</f>
        <v>0</v>
      </c>
      <c r="AE66" s="111">
        <f t="shared" ref="AE66" si="54">AD70</f>
        <v>0</v>
      </c>
      <c r="AF66" s="111">
        <f t="shared" ref="AF66" si="55">AE70</f>
        <v>0</v>
      </c>
      <c r="AG66" s="111">
        <f t="shared" ref="AG66" si="56">AF70</f>
        <v>0</v>
      </c>
      <c r="AH66" s="111">
        <f t="shared" ref="AH66" si="57">AG70</f>
        <v>0</v>
      </c>
      <c r="AI66" s="111">
        <f t="shared" ref="AI66" si="58">AH70</f>
        <v>0</v>
      </c>
      <c r="AJ66" s="111">
        <f t="shared" ref="AJ66" si="59">AI70</f>
        <v>0</v>
      </c>
      <c r="AK66" s="111">
        <f t="shared" ref="AK66" si="60">AJ70</f>
        <v>0</v>
      </c>
      <c r="AL66" s="111">
        <f t="shared" ref="AL66" si="61">AK70</f>
        <v>0</v>
      </c>
      <c r="AM66" s="111">
        <f t="shared" ref="AM66" si="62">AL70</f>
        <v>0</v>
      </c>
      <c r="AN66" s="111">
        <f t="shared" ref="AN66" si="63">AM70</f>
        <v>0</v>
      </c>
      <c r="AO66" s="111">
        <f t="shared" ref="AO66" si="64">AN70</f>
        <v>0</v>
      </c>
      <c r="AP66" s="111">
        <f t="shared" ref="AP66" si="65">AO70</f>
        <v>0</v>
      </c>
      <c r="AQ66" s="111">
        <f t="shared" ref="AQ66" si="66">AP70</f>
        <v>0</v>
      </c>
      <c r="AR66" s="111">
        <f t="shared" ref="AR66" si="67">AQ70</f>
        <v>0</v>
      </c>
      <c r="AS66" s="111">
        <f t="shared" ref="AS66" si="68">AR70</f>
        <v>0</v>
      </c>
      <c r="AT66" s="111">
        <f t="shared" ref="AT66" si="69">AS70</f>
        <v>0</v>
      </c>
      <c r="AU66" s="111">
        <f t="shared" ref="AU66" si="70">AT70</f>
        <v>0</v>
      </c>
      <c r="AV66" s="111">
        <f t="shared" ref="AV66" si="71">AU70</f>
        <v>0</v>
      </c>
      <c r="AW66" s="111">
        <f t="shared" ref="AW66" si="72">AV70</f>
        <v>0</v>
      </c>
      <c r="AX66" s="111">
        <f t="shared" ref="AX66" si="73">AW70</f>
        <v>0</v>
      </c>
      <c r="AY66" s="111">
        <f t="shared" ref="AY66" si="74">AX70</f>
        <v>0</v>
      </c>
      <c r="AZ66" s="111">
        <f t="shared" ref="AZ66" si="75">AY70</f>
        <v>0</v>
      </c>
      <c r="BA66" s="111">
        <f t="shared" ref="BA66" si="76">AZ70</f>
        <v>0</v>
      </c>
      <c r="BB66" s="111">
        <f t="shared" ref="BB66" si="77">BA70</f>
        <v>0</v>
      </c>
      <c r="BC66" s="111">
        <f t="shared" ref="BC66" si="78">BB70</f>
        <v>0</v>
      </c>
      <c r="BD66" s="111">
        <f t="shared" ref="BD66" si="79">BC70</f>
        <v>0</v>
      </c>
      <c r="BE66" s="111">
        <f t="shared" ref="BE66" si="80">BD70</f>
        <v>0</v>
      </c>
      <c r="BF66" s="111">
        <f t="shared" ref="BF66" si="81">BE70</f>
        <v>0</v>
      </c>
      <c r="BG66" s="111">
        <f t="shared" ref="BG66" si="82">BF70</f>
        <v>0</v>
      </c>
      <c r="BH66" s="11"/>
      <c r="BI66" s="11"/>
      <c r="BJ66" s="11"/>
      <c r="BK66" s="11"/>
      <c r="BL66" s="11"/>
      <c r="BM66" s="11"/>
      <c r="BN66" s="11"/>
      <c r="BO66" s="11"/>
    </row>
    <row r="67" spans="1:69" ht="15">
      <c r="A67" s="11"/>
      <c r="B67" s="11" t="s">
        <v>31</v>
      </c>
      <c r="C67" s="11"/>
      <c r="D67" s="11"/>
      <c r="E67" s="11"/>
      <c r="F67" s="11"/>
      <c r="G67" s="11"/>
      <c r="H67" s="336"/>
      <c r="I67" s="142"/>
      <c r="J67" s="111">
        <f>(1+J71/2)*J69-J71*J66</f>
        <v>113842.87571045069</v>
      </c>
      <c r="K67" s="111">
        <f t="shared" ref="K67:Z67" si="83">(1+K71/2)*K69-K71*K66</f>
        <v>120218.07675023592</v>
      </c>
      <c r="L67" s="111">
        <f t="shared" si="83"/>
        <v>126950.28904824913</v>
      </c>
      <c r="M67" s="111">
        <f t="shared" si="83"/>
        <v>134059.5052349511</v>
      </c>
      <c r="N67" s="111">
        <f t="shared" si="83"/>
        <v>141566.83752810836</v>
      </c>
      <c r="O67" s="111">
        <f t="shared" si="83"/>
        <v>149494.58042968242</v>
      </c>
      <c r="P67" s="111">
        <f t="shared" si="83"/>
        <v>157866.27693374461</v>
      </c>
      <c r="Q67" s="111">
        <f t="shared" si="83"/>
        <v>166706.78844203433</v>
      </c>
      <c r="R67" s="111">
        <f t="shared" si="83"/>
        <v>176042.36859478825</v>
      </c>
      <c r="S67" s="111">
        <f t="shared" si="83"/>
        <v>185900.74123609636</v>
      </c>
      <c r="T67" s="111">
        <f t="shared" si="83"/>
        <v>196311.18274531778</v>
      </c>
      <c r="U67" s="111">
        <f t="shared" si="83"/>
        <v>207304.6089790556</v>
      </c>
      <c r="V67" s="111">
        <f t="shared" si="83"/>
        <v>218913.66708188271</v>
      </c>
      <c r="W67" s="111">
        <f t="shared" si="83"/>
        <v>231172.83243846812</v>
      </c>
      <c r="X67" s="111">
        <f t="shared" si="83"/>
        <v>244118.51105502233</v>
      </c>
      <c r="Y67" s="111">
        <f t="shared" si="83"/>
        <v>257789.14767410359</v>
      </c>
      <c r="Z67" s="111">
        <f t="shared" si="83"/>
        <v>272225.33994385338</v>
      </c>
      <c r="AA67" s="111">
        <f>(1+AA71/2)*AA69-AA71*AA66</f>
        <v>0</v>
      </c>
      <c r="AB67" s="111">
        <f>(1+AB71/2)*AB69-AB71*AB66</f>
        <v>0</v>
      </c>
      <c r="AC67" s="111">
        <f>(1+AC71/2)*AC69-AC71*AC66</f>
        <v>0</v>
      </c>
      <c r="AD67" s="111">
        <f t="shared" ref="AD67:BG67" si="84">(1+AD71/2)*AD69-AD71*AD66</f>
        <v>0</v>
      </c>
      <c r="AE67" s="111">
        <f t="shared" si="84"/>
        <v>0</v>
      </c>
      <c r="AF67" s="111">
        <f t="shared" si="84"/>
        <v>0</v>
      </c>
      <c r="AG67" s="111">
        <f t="shared" si="84"/>
        <v>0</v>
      </c>
      <c r="AH67" s="111">
        <f t="shared" si="84"/>
        <v>0</v>
      </c>
      <c r="AI67" s="111">
        <f t="shared" si="84"/>
        <v>0</v>
      </c>
      <c r="AJ67" s="111">
        <f t="shared" si="84"/>
        <v>0</v>
      </c>
      <c r="AK67" s="111">
        <f t="shared" si="84"/>
        <v>0</v>
      </c>
      <c r="AL67" s="111">
        <f t="shared" si="84"/>
        <v>0</v>
      </c>
      <c r="AM67" s="111">
        <f t="shared" si="84"/>
        <v>0</v>
      </c>
      <c r="AN67" s="111">
        <f t="shared" si="84"/>
        <v>0</v>
      </c>
      <c r="AO67" s="111">
        <f t="shared" si="84"/>
        <v>0</v>
      </c>
      <c r="AP67" s="111">
        <f t="shared" si="84"/>
        <v>0</v>
      </c>
      <c r="AQ67" s="111">
        <f t="shared" si="84"/>
        <v>0</v>
      </c>
      <c r="AR67" s="111">
        <f t="shared" si="84"/>
        <v>0</v>
      </c>
      <c r="AS67" s="111">
        <f t="shared" si="84"/>
        <v>0</v>
      </c>
      <c r="AT67" s="111">
        <f t="shared" si="84"/>
        <v>0</v>
      </c>
      <c r="AU67" s="111">
        <f t="shared" si="84"/>
        <v>0</v>
      </c>
      <c r="AV67" s="111">
        <f t="shared" si="84"/>
        <v>0</v>
      </c>
      <c r="AW67" s="111">
        <f t="shared" si="84"/>
        <v>0</v>
      </c>
      <c r="AX67" s="111">
        <f t="shared" si="84"/>
        <v>0</v>
      </c>
      <c r="AY67" s="111">
        <f t="shared" si="84"/>
        <v>0</v>
      </c>
      <c r="AZ67" s="111">
        <f t="shared" si="84"/>
        <v>0</v>
      </c>
      <c r="BA67" s="111">
        <f t="shared" si="84"/>
        <v>0</v>
      </c>
      <c r="BB67" s="111">
        <f t="shared" si="84"/>
        <v>0</v>
      </c>
      <c r="BC67" s="111">
        <f t="shared" si="84"/>
        <v>0</v>
      </c>
      <c r="BD67" s="111">
        <f t="shared" si="84"/>
        <v>0</v>
      </c>
      <c r="BE67" s="111">
        <f t="shared" si="84"/>
        <v>0</v>
      </c>
      <c r="BF67" s="111">
        <f t="shared" si="84"/>
        <v>0</v>
      </c>
      <c r="BG67" s="111">
        <f t="shared" si="84"/>
        <v>0</v>
      </c>
      <c r="BH67" s="11"/>
      <c r="BI67" s="11"/>
      <c r="BJ67" s="11"/>
      <c r="BK67" s="11"/>
      <c r="BL67" s="11"/>
      <c r="BM67" s="11"/>
      <c r="BN67" s="11"/>
      <c r="BO67" s="11"/>
    </row>
    <row r="68" spans="1:69" ht="15">
      <c r="A68" s="11"/>
      <c r="B68" s="11" t="s">
        <v>41</v>
      </c>
      <c r="C68" s="11"/>
      <c r="D68" s="11"/>
      <c r="E68" s="11"/>
      <c r="F68" s="11"/>
      <c r="G68" s="11"/>
      <c r="H68" s="336"/>
      <c r="I68" s="336"/>
      <c r="J68" s="111">
        <f>J69-J67</f>
        <v>165797.16220852709</v>
      </c>
      <c r="K68" s="111">
        <f>K69-K67</f>
        <v>159421.96116874187</v>
      </c>
      <c r="L68" s="111">
        <f t="shared" ref="L68:Z68" si="85">L69-L67</f>
        <v>152689.74887072865</v>
      </c>
      <c r="M68" s="111">
        <f t="shared" si="85"/>
        <v>145580.53268402669</v>
      </c>
      <c r="N68" s="111">
        <f t="shared" si="85"/>
        <v>138073.20039086943</v>
      </c>
      <c r="O68" s="111">
        <f t="shared" si="85"/>
        <v>130145.45748929537</v>
      </c>
      <c r="P68" s="111">
        <f t="shared" si="85"/>
        <v>121773.76098523318</v>
      </c>
      <c r="Q68" s="111">
        <f t="shared" si="85"/>
        <v>112933.24947694346</v>
      </c>
      <c r="R68" s="111">
        <f t="shared" si="85"/>
        <v>103597.66932418954</v>
      </c>
      <c r="S68" s="111">
        <f t="shared" si="85"/>
        <v>93739.296682881424</v>
      </c>
      <c r="T68" s="111">
        <f t="shared" si="85"/>
        <v>83328.855173660006</v>
      </c>
      <c r="U68" s="111">
        <f t="shared" si="85"/>
        <v>72335.428939922189</v>
      </c>
      <c r="V68" s="111">
        <f t="shared" si="85"/>
        <v>60726.370837095077</v>
      </c>
      <c r="W68" s="111">
        <f t="shared" si="85"/>
        <v>48467.20548050967</v>
      </c>
      <c r="X68" s="111">
        <f t="shared" si="85"/>
        <v>35521.526863955456</v>
      </c>
      <c r="Y68" s="111">
        <f t="shared" si="85"/>
        <v>21850.890244874201</v>
      </c>
      <c r="Z68" s="111">
        <f t="shared" si="85"/>
        <v>7414.6979751244071</v>
      </c>
      <c r="AA68" s="111">
        <f>AA69-AA67</f>
        <v>0</v>
      </c>
      <c r="AB68" s="111">
        <f>AB69-AB67</f>
        <v>0</v>
      </c>
      <c r="AC68" s="111">
        <f>AC69-AC67</f>
        <v>0</v>
      </c>
      <c r="AD68" s="111">
        <f t="shared" ref="AD68:BG68" si="86">AD69-AD67</f>
        <v>0</v>
      </c>
      <c r="AE68" s="111">
        <f t="shared" si="86"/>
        <v>0</v>
      </c>
      <c r="AF68" s="111">
        <f t="shared" si="86"/>
        <v>0</v>
      </c>
      <c r="AG68" s="111">
        <f t="shared" si="86"/>
        <v>0</v>
      </c>
      <c r="AH68" s="111">
        <f t="shared" si="86"/>
        <v>0</v>
      </c>
      <c r="AI68" s="111">
        <f t="shared" si="86"/>
        <v>0</v>
      </c>
      <c r="AJ68" s="111">
        <f t="shared" si="86"/>
        <v>0</v>
      </c>
      <c r="AK68" s="111">
        <f t="shared" si="86"/>
        <v>0</v>
      </c>
      <c r="AL68" s="111">
        <f t="shared" si="86"/>
        <v>0</v>
      </c>
      <c r="AM68" s="111">
        <f t="shared" si="86"/>
        <v>0</v>
      </c>
      <c r="AN68" s="111">
        <f t="shared" si="86"/>
        <v>0</v>
      </c>
      <c r="AO68" s="111">
        <f t="shared" si="86"/>
        <v>0</v>
      </c>
      <c r="AP68" s="111">
        <f t="shared" si="86"/>
        <v>0</v>
      </c>
      <c r="AQ68" s="111">
        <f t="shared" si="86"/>
        <v>0</v>
      </c>
      <c r="AR68" s="111">
        <f t="shared" si="86"/>
        <v>0</v>
      </c>
      <c r="AS68" s="111">
        <f t="shared" si="86"/>
        <v>0</v>
      </c>
      <c r="AT68" s="111">
        <f t="shared" si="86"/>
        <v>0</v>
      </c>
      <c r="AU68" s="111">
        <f t="shared" si="86"/>
        <v>0</v>
      </c>
      <c r="AV68" s="111">
        <f t="shared" si="86"/>
        <v>0</v>
      </c>
      <c r="AW68" s="111">
        <f t="shared" si="86"/>
        <v>0</v>
      </c>
      <c r="AX68" s="111">
        <f t="shared" si="86"/>
        <v>0</v>
      </c>
      <c r="AY68" s="111">
        <f t="shared" si="86"/>
        <v>0</v>
      </c>
      <c r="AZ68" s="111">
        <f t="shared" si="86"/>
        <v>0</v>
      </c>
      <c r="BA68" s="111">
        <f t="shared" si="86"/>
        <v>0</v>
      </c>
      <c r="BB68" s="111">
        <f t="shared" si="86"/>
        <v>0</v>
      </c>
      <c r="BC68" s="111">
        <f t="shared" si="86"/>
        <v>0</v>
      </c>
      <c r="BD68" s="111">
        <f t="shared" si="86"/>
        <v>0</v>
      </c>
      <c r="BE68" s="111">
        <f t="shared" si="86"/>
        <v>0</v>
      </c>
      <c r="BF68" s="111">
        <f t="shared" si="86"/>
        <v>0</v>
      </c>
      <c r="BG68" s="111">
        <f t="shared" si="86"/>
        <v>0</v>
      </c>
      <c r="BH68" s="11"/>
      <c r="BI68" s="11"/>
      <c r="BJ68" s="11"/>
      <c r="BK68" s="11"/>
      <c r="BL68" s="11"/>
      <c r="BM68" s="11"/>
      <c r="BN68" s="11"/>
      <c r="BO68" s="11"/>
    </row>
    <row r="69" spans="1:69" ht="15">
      <c r="A69" s="11"/>
      <c r="B69" s="11" t="s">
        <v>204</v>
      </c>
      <c r="C69" s="11"/>
      <c r="D69" s="11"/>
      <c r="E69" s="11"/>
      <c r="F69" s="11"/>
      <c r="G69" s="11"/>
      <c r="H69" s="336"/>
      <c r="I69" s="336"/>
      <c r="J69" s="111">
        <f>C78</f>
        <v>279640.03791897779</v>
      </c>
      <c r="K69" s="111">
        <f>J69*K65</f>
        <v>279640.03791897779</v>
      </c>
      <c r="L69" s="111">
        <f t="shared" ref="L69:AC69" si="87">K69*L65</f>
        <v>279640.03791897779</v>
      </c>
      <c r="M69" s="111">
        <f t="shared" si="87"/>
        <v>279640.03791897779</v>
      </c>
      <c r="N69" s="111">
        <f t="shared" si="87"/>
        <v>279640.03791897779</v>
      </c>
      <c r="O69" s="111">
        <f t="shared" si="87"/>
        <v>279640.03791897779</v>
      </c>
      <c r="P69" s="111">
        <f t="shared" si="87"/>
        <v>279640.03791897779</v>
      </c>
      <c r="Q69" s="111">
        <f t="shared" si="87"/>
        <v>279640.03791897779</v>
      </c>
      <c r="R69" s="111">
        <f t="shared" si="87"/>
        <v>279640.03791897779</v>
      </c>
      <c r="S69" s="111">
        <f t="shared" si="87"/>
        <v>279640.03791897779</v>
      </c>
      <c r="T69" s="111">
        <f t="shared" si="87"/>
        <v>279640.03791897779</v>
      </c>
      <c r="U69" s="111">
        <f t="shared" si="87"/>
        <v>279640.03791897779</v>
      </c>
      <c r="V69" s="111">
        <f t="shared" si="87"/>
        <v>279640.03791897779</v>
      </c>
      <c r="W69" s="111">
        <f t="shared" si="87"/>
        <v>279640.03791897779</v>
      </c>
      <c r="X69" s="111">
        <f t="shared" si="87"/>
        <v>279640.03791897779</v>
      </c>
      <c r="Y69" s="111">
        <f t="shared" si="87"/>
        <v>279640.03791897779</v>
      </c>
      <c r="Z69" s="111">
        <f t="shared" si="87"/>
        <v>279640.03791897779</v>
      </c>
      <c r="AA69" s="111">
        <f t="shared" si="87"/>
        <v>0</v>
      </c>
      <c r="AB69" s="111">
        <f t="shared" si="87"/>
        <v>0</v>
      </c>
      <c r="AC69" s="111">
        <f t="shared" si="87"/>
        <v>0</v>
      </c>
      <c r="AD69" s="111">
        <f t="shared" ref="AD69" si="88">AC69*AD65</f>
        <v>0</v>
      </c>
      <c r="AE69" s="111">
        <f t="shared" ref="AE69" si="89">AD69*AE65</f>
        <v>0</v>
      </c>
      <c r="AF69" s="111">
        <f t="shared" ref="AF69" si="90">AE69*AF65</f>
        <v>0</v>
      </c>
      <c r="AG69" s="111">
        <f t="shared" ref="AG69" si="91">AF69*AG65</f>
        <v>0</v>
      </c>
      <c r="AH69" s="111">
        <f t="shared" ref="AH69" si="92">AG69*AH65</f>
        <v>0</v>
      </c>
      <c r="AI69" s="111">
        <f t="shared" ref="AI69" si="93">AH69*AI65</f>
        <v>0</v>
      </c>
      <c r="AJ69" s="111">
        <f t="shared" ref="AJ69" si="94">AI69*AJ65</f>
        <v>0</v>
      </c>
      <c r="AK69" s="111">
        <f t="shared" ref="AK69" si="95">AJ69*AK65</f>
        <v>0</v>
      </c>
      <c r="AL69" s="111">
        <f t="shared" ref="AL69" si="96">AK69*AL65</f>
        <v>0</v>
      </c>
      <c r="AM69" s="111">
        <f t="shared" ref="AM69" si="97">AL69*AM65</f>
        <v>0</v>
      </c>
      <c r="AN69" s="111">
        <f t="shared" ref="AN69" si="98">AM69*AN65</f>
        <v>0</v>
      </c>
      <c r="AO69" s="111">
        <f t="shared" ref="AO69" si="99">AN69*AO65</f>
        <v>0</v>
      </c>
      <c r="AP69" s="111">
        <f t="shared" ref="AP69" si="100">AO69*AP65</f>
        <v>0</v>
      </c>
      <c r="AQ69" s="111">
        <f t="shared" ref="AQ69" si="101">AP69*AQ65</f>
        <v>0</v>
      </c>
      <c r="AR69" s="111">
        <f t="shared" ref="AR69" si="102">AQ69*AR65</f>
        <v>0</v>
      </c>
      <c r="AS69" s="111">
        <f t="shared" ref="AS69" si="103">AR69*AS65</f>
        <v>0</v>
      </c>
      <c r="AT69" s="111">
        <f t="shared" ref="AT69" si="104">AS69*AT65</f>
        <v>0</v>
      </c>
      <c r="AU69" s="111">
        <f t="shared" ref="AU69" si="105">AT69*AU65</f>
        <v>0</v>
      </c>
      <c r="AV69" s="111">
        <f t="shared" ref="AV69" si="106">AU69*AV65</f>
        <v>0</v>
      </c>
      <c r="AW69" s="111">
        <f t="shared" ref="AW69" si="107">AV69*AW65</f>
        <v>0</v>
      </c>
      <c r="AX69" s="111">
        <f t="shared" ref="AX69" si="108">AW69*AX65</f>
        <v>0</v>
      </c>
      <c r="AY69" s="111">
        <f t="shared" ref="AY69" si="109">AX69*AY65</f>
        <v>0</v>
      </c>
      <c r="AZ69" s="111">
        <f t="shared" ref="AZ69" si="110">AY69*AZ65</f>
        <v>0</v>
      </c>
      <c r="BA69" s="111">
        <f t="shared" ref="BA69" si="111">AZ69*BA65</f>
        <v>0</v>
      </c>
      <c r="BB69" s="111">
        <f t="shared" ref="BB69" si="112">BA69*BB65</f>
        <v>0</v>
      </c>
      <c r="BC69" s="111">
        <f t="shared" ref="BC69" si="113">BB69*BC65</f>
        <v>0</v>
      </c>
      <c r="BD69" s="111">
        <f t="shared" ref="BD69" si="114">BC69*BD65</f>
        <v>0</v>
      </c>
      <c r="BE69" s="111">
        <f t="shared" ref="BE69" si="115">BD69*BE65</f>
        <v>0</v>
      </c>
      <c r="BF69" s="111">
        <f t="shared" ref="BF69" si="116">BE69*BF65</f>
        <v>0</v>
      </c>
      <c r="BG69" s="111">
        <f t="shared" ref="BG69" si="117">BF69*BG65</f>
        <v>0</v>
      </c>
      <c r="BH69" s="11"/>
      <c r="BI69" s="11"/>
      <c r="BJ69" s="11"/>
      <c r="BK69" s="11"/>
      <c r="BL69" s="11"/>
      <c r="BM69" s="11"/>
      <c r="BN69" s="11"/>
      <c r="BO69" s="11"/>
    </row>
    <row r="70" spans="1:69" ht="15">
      <c r="A70" s="336">
        <f>BG70</f>
        <v>0</v>
      </c>
      <c r="B70" s="11" t="s">
        <v>1</v>
      </c>
      <c r="C70" s="11"/>
      <c r="D70" s="11"/>
      <c r="E70" s="11"/>
      <c r="F70" s="11"/>
      <c r="G70" s="11"/>
      <c r="H70" s="11"/>
      <c r="I70" s="336"/>
      <c r="J70" s="111">
        <f>J66-J67</f>
        <v>2986640.7541155941</v>
      </c>
      <c r="K70" s="111">
        <f t="shared" ref="K70:Z70" si="118">K66-K67</f>
        <v>2866422.677365358</v>
      </c>
      <c r="L70" s="111">
        <f t="shared" si="118"/>
        <v>2739472.3883171091</v>
      </c>
      <c r="M70" s="111">
        <f t="shared" si="118"/>
        <v>2605412.8830821579</v>
      </c>
      <c r="N70" s="111">
        <f t="shared" si="118"/>
        <v>2463846.0455540498</v>
      </c>
      <c r="O70" s="111">
        <f t="shared" si="118"/>
        <v>2314351.4651243673</v>
      </c>
      <c r="P70" s="111">
        <f t="shared" si="118"/>
        <v>2156485.1881906227</v>
      </c>
      <c r="Q70" s="111">
        <f t="shared" si="118"/>
        <v>1989778.3997485884</v>
      </c>
      <c r="R70" s="111">
        <f t="shared" si="118"/>
        <v>1813736.0311538002</v>
      </c>
      <c r="S70" s="111">
        <f t="shared" si="118"/>
        <v>1627835.2899177037</v>
      </c>
      <c r="T70" s="111">
        <f t="shared" si="118"/>
        <v>1431524.107172386</v>
      </c>
      <c r="U70" s="111">
        <f t="shared" si="118"/>
        <v>1224219.4981933304</v>
      </c>
      <c r="V70" s="111">
        <f t="shared" si="118"/>
        <v>1005305.8311114477</v>
      </c>
      <c r="W70" s="111">
        <f t="shared" si="118"/>
        <v>774132.99867297953</v>
      </c>
      <c r="X70" s="111">
        <f t="shared" si="118"/>
        <v>530014.48761795717</v>
      </c>
      <c r="Y70" s="111">
        <f t="shared" si="118"/>
        <v>272225.33994385356</v>
      </c>
      <c r="Z70" s="111">
        <f t="shared" si="118"/>
        <v>0</v>
      </c>
      <c r="AA70" s="111">
        <f>AA66-AA67</f>
        <v>0</v>
      </c>
      <c r="AB70" s="111">
        <f>AB66-AB67</f>
        <v>0</v>
      </c>
      <c r="AC70" s="111">
        <f>AC66-AC67</f>
        <v>0</v>
      </c>
      <c r="AD70" s="111">
        <f t="shared" ref="AD70:BG70" si="119">AD66-AD67</f>
        <v>0</v>
      </c>
      <c r="AE70" s="111">
        <f t="shared" si="119"/>
        <v>0</v>
      </c>
      <c r="AF70" s="111">
        <f t="shared" si="119"/>
        <v>0</v>
      </c>
      <c r="AG70" s="111">
        <f t="shared" si="119"/>
        <v>0</v>
      </c>
      <c r="AH70" s="111">
        <f t="shared" si="119"/>
        <v>0</v>
      </c>
      <c r="AI70" s="111">
        <f t="shared" si="119"/>
        <v>0</v>
      </c>
      <c r="AJ70" s="111">
        <f t="shared" si="119"/>
        <v>0</v>
      </c>
      <c r="AK70" s="111">
        <f t="shared" si="119"/>
        <v>0</v>
      </c>
      <c r="AL70" s="111">
        <f t="shared" si="119"/>
        <v>0</v>
      </c>
      <c r="AM70" s="111">
        <f t="shared" si="119"/>
        <v>0</v>
      </c>
      <c r="AN70" s="111">
        <f t="shared" si="119"/>
        <v>0</v>
      </c>
      <c r="AO70" s="111">
        <f t="shared" si="119"/>
        <v>0</v>
      </c>
      <c r="AP70" s="111">
        <f t="shared" si="119"/>
        <v>0</v>
      </c>
      <c r="AQ70" s="111">
        <f t="shared" si="119"/>
        <v>0</v>
      </c>
      <c r="AR70" s="111">
        <f t="shared" si="119"/>
        <v>0</v>
      </c>
      <c r="AS70" s="111">
        <f t="shared" si="119"/>
        <v>0</v>
      </c>
      <c r="AT70" s="111">
        <f t="shared" si="119"/>
        <v>0</v>
      </c>
      <c r="AU70" s="111">
        <f t="shared" si="119"/>
        <v>0</v>
      </c>
      <c r="AV70" s="111">
        <f t="shared" si="119"/>
        <v>0</v>
      </c>
      <c r="AW70" s="111">
        <f t="shared" si="119"/>
        <v>0</v>
      </c>
      <c r="AX70" s="111">
        <f t="shared" si="119"/>
        <v>0</v>
      </c>
      <c r="AY70" s="111">
        <f t="shared" si="119"/>
        <v>0</v>
      </c>
      <c r="AZ70" s="111">
        <f t="shared" si="119"/>
        <v>0</v>
      </c>
      <c r="BA70" s="111">
        <f t="shared" si="119"/>
        <v>0</v>
      </c>
      <c r="BB70" s="111">
        <f t="shared" si="119"/>
        <v>0</v>
      </c>
      <c r="BC70" s="111">
        <f t="shared" si="119"/>
        <v>0</v>
      </c>
      <c r="BD70" s="111">
        <f t="shared" si="119"/>
        <v>0</v>
      </c>
      <c r="BE70" s="111">
        <f t="shared" si="119"/>
        <v>0</v>
      </c>
      <c r="BF70" s="111">
        <f t="shared" si="119"/>
        <v>0</v>
      </c>
      <c r="BG70" s="111">
        <f t="shared" si="119"/>
        <v>0</v>
      </c>
      <c r="BH70" s="11"/>
      <c r="BI70" s="11"/>
      <c r="BJ70" s="11"/>
      <c r="BK70" s="11"/>
      <c r="BL70" s="11"/>
      <c r="BM70" s="11"/>
      <c r="BN70" s="11"/>
      <c r="BO70" s="11"/>
    </row>
    <row r="71" spans="1:69" ht="15">
      <c r="A71" s="11"/>
      <c r="B71" s="337">
        <f>J71/(1+J71*0.5)</f>
        <v>5.4474708171206226E-2</v>
      </c>
      <c r="D71" s="333"/>
      <c r="E71" s="11"/>
      <c r="F71" s="11"/>
      <c r="G71" s="11"/>
      <c r="H71" s="11"/>
      <c r="I71" s="338"/>
      <c r="J71" s="339">
        <f>Summary!C13</f>
        <v>5.6000000000000001E-2</v>
      </c>
      <c r="K71" s="339">
        <f>J71</f>
        <v>5.6000000000000001E-2</v>
      </c>
      <c r="L71" s="339">
        <f t="shared" ref="L71:AC71" si="120">K71</f>
        <v>5.6000000000000001E-2</v>
      </c>
      <c r="M71" s="339">
        <f t="shared" si="120"/>
        <v>5.6000000000000001E-2</v>
      </c>
      <c r="N71" s="339">
        <f t="shared" si="120"/>
        <v>5.6000000000000001E-2</v>
      </c>
      <c r="O71" s="339">
        <f t="shared" si="120"/>
        <v>5.6000000000000001E-2</v>
      </c>
      <c r="P71" s="339">
        <f t="shared" si="120"/>
        <v>5.6000000000000001E-2</v>
      </c>
      <c r="Q71" s="339">
        <f t="shared" si="120"/>
        <v>5.6000000000000001E-2</v>
      </c>
      <c r="R71" s="339">
        <f t="shared" si="120"/>
        <v>5.6000000000000001E-2</v>
      </c>
      <c r="S71" s="339">
        <f t="shared" si="120"/>
        <v>5.6000000000000001E-2</v>
      </c>
      <c r="T71" s="339">
        <f t="shared" si="120"/>
        <v>5.6000000000000001E-2</v>
      </c>
      <c r="U71" s="339">
        <f t="shared" si="120"/>
        <v>5.6000000000000001E-2</v>
      </c>
      <c r="V71" s="339">
        <f t="shared" si="120"/>
        <v>5.6000000000000001E-2</v>
      </c>
      <c r="W71" s="339">
        <f t="shared" si="120"/>
        <v>5.6000000000000001E-2</v>
      </c>
      <c r="X71" s="339">
        <f t="shared" si="120"/>
        <v>5.6000000000000001E-2</v>
      </c>
      <c r="Y71" s="339">
        <f t="shared" si="120"/>
        <v>5.6000000000000001E-2</v>
      </c>
      <c r="Z71" s="339">
        <f t="shared" si="120"/>
        <v>5.6000000000000001E-2</v>
      </c>
      <c r="AA71" s="339">
        <f t="shared" si="120"/>
        <v>5.6000000000000001E-2</v>
      </c>
      <c r="AB71" s="339">
        <f t="shared" si="120"/>
        <v>5.6000000000000001E-2</v>
      </c>
      <c r="AC71" s="339">
        <f t="shared" si="120"/>
        <v>5.6000000000000001E-2</v>
      </c>
      <c r="AD71" s="339">
        <f t="shared" ref="AD71" si="121">AC71</f>
        <v>5.6000000000000001E-2</v>
      </c>
      <c r="AE71" s="339">
        <f t="shared" ref="AE71" si="122">AD71</f>
        <v>5.6000000000000001E-2</v>
      </c>
      <c r="AF71" s="339">
        <f t="shared" ref="AF71" si="123">AE71</f>
        <v>5.6000000000000001E-2</v>
      </c>
      <c r="AG71" s="339">
        <f t="shared" ref="AG71" si="124">AF71</f>
        <v>5.6000000000000001E-2</v>
      </c>
      <c r="AH71" s="339">
        <f t="shared" ref="AH71" si="125">AG71</f>
        <v>5.6000000000000001E-2</v>
      </c>
      <c r="AI71" s="339">
        <f t="shared" ref="AI71" si="126">AH71</f>
        <v>5.6000000000000001E-2</v>
      </c>
      <c r="AJ71" s="339">
        <f t="shared" ref="AJ71" si="127">AI71</f>
        <v>5.6000000000000001E-2</v>
      </c>
      <c r="AK71" s="339">
        <f t="shared" ref="AK71" si="128">AJ71</f>
        <v>5.6000000000000001E-2</v>
      </c>
      <c r="AL71" s="339">
        <f t="shared" ref="AL71" si="129">AK71</f>
        <v>5.6000000000000001E-2</v>
      </c>
      <c r="AM71" s="339">
        <f t="shared" ref="AM71" si="130">AL71</f>
        <v>5.6000000000000001E-2</v>
      </c>
      <c r="AN71" s="339">
        <f t="shared" ref="AN71" si="131">AM71</f>
        <v>5.6000000000000001E-2</v>
      </c>
      <c r="AO71" s="339">
        <f t="shared" ref="AO71" si="132">AN71</f>
        <v>5.6000000000000001E-2</v>
      </c>
      <c r="AP71" s="339">
        <f t="shared" ref="AP71" si="133">AO71</f>
        <v>5.6000000000000001E-2</v>
      </c>
      <c r="AQ71" s="339">
        <f t="shared" ref="AQ71" si="134">AP71</f>
        <v>5.6000000000000001E-2</v>
      </c>
      <c r="AR71" s="339">
        <f t="shared" ref="AR71" si="135">AQ71</f>
        <v>5.6000000000000001E-2</v>
      </c>
      <c r="AS71" s="339">
        <f t="shared" ref="AS71" si="136">AR71</f>
        <v>5.6000000000000001E-2</v>
      </c>
      <c r="AT71" s="339">
        <f t="shared" ref="AT71" si="137">AS71</f>
        <v>5.6000000000000001E-2</v>
      </c>
      <c r="AU71" s="339">
        <f t="shared" ref="AU71" si="138">AT71</f>
        <v>5.6000000000000001E-2</v>
      </c>
      <c r="AV71" s="339">
        <f t="shared" ref="AV71" si="139">AU71</f>
        <v>5.6000000000000001E-2</v>
      </c>
      <c r="AW71" s="339">
        <f t="shared" ref="AW71" si="140">AV71</f>
        <v>5.6000000000000001E-2</v>
      </c>
      <c r="AX71" s="339">
        <f t="shared" ref="AX71" si="141">AW71</f>
        <v>5.6000000000000001E-2</v>
      </c>
      <c r="AY71" s="339">
        <f t="shared" ref="AY71" si="142">AX71</f>
        <v>5.6000000000000001E-2</v>
      </c>
      <c r="AZ71" s="339">
        <f t="shared" ref="AZ71" si="143">AY71</f>
        <v>5.6000000000000001E-2</v>
      </c>
      <c r="BA71" s="339">
        <f t="shared" ref="BA71" si="144">AZ71</f>
        <v>5.6000000000000001E-2</v>
      </c>
      <c r="BB71" s="339">
        <f t="shared" ref="BB71" si="145">BA71</f>
        <v>5.6000000000000001E-2</v>
      </c>
      <c r="BC71" s="339">
        <f t="shared" ref="BC71" si="146">BB71</f>
        <v>5.6000000000000001E-2</v>
      </c>
      <c r="BD71" s="339">
        <f t="shared" ref="BD71" si="147">BC71</f>
        <v>5.6000000000000001E-2</v>
      </c>
      <c r="BE71" s="339">
        <f t="shared" ref="BE71" si="148">BD71</f>
        <v>5.6000000000000001E-2</v>
      </c>
      <c r="BF71" s="339">
        <f t="shared" ref="BF71" si="149">BE71</f>
        <v>5.6000000000000001E-2</v>
      </c>
      <c r="BG71" s="339">
        <f t="shared" ref="BG71" si="150">BF71</f>
        <v>5.6000000000000001E-2</v>
      </c>
      <c r="BH71" s="11"/>
      <c r="BI71" s="11"/>
      <c r="BJ71" s="11"/>
      <c r="BK71" s="11"/>
      <c r="BL71" s="11"/>
      <c r="BM71" s="11"/>
      <c r="BN71" s="11"/>
      <c r="BO71" s="11"/>
    </row>
    <row r="72" spans="1:69" ht="15">
      <c r="A72" s="11"/>
      <c r="B72" s="11"/>
      <c r="C72" s="337"/>
      <c r="D72" s="333"/>
      <c r="E72" s="11"/>
      <c r="F72" s="11"/>
      <c r="G72" s="11"/>
      <c r="H72" s="11"/>
      <c r="I72" s="338"/>
      <c r="J72" s="339"/>
      <c r="K72" s="339"/>
      <c r="L72" s="339"/>
      <c r="M72" s="339"/>
      <c r="N72" s="339"/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39"/>
      <c r="Z72" s="339"/>
      <c r="AA72" s="338"/>
      <c r="AB72" s="338"/>
      <c r="AC72" s="338"/>
      <c r="AD72" s="338"/>
      <c r="AE72" s="338"/>
      <c r="AF72" s="338"/>
      <c r="AG72" s="338"/>
      <c r="AH72" s="338"/>
      <c r="AI72" s="338"/>
      <c r="AJ72" s="338"/>
      <c r="AK72" s="338"/>
      <c r="AL72" s="338"/>
      <c r="AM72" s="338"/>
      <c r="AN72" s="338"/>
      <c r="AO72" s="338"/>
      <c r="AP72" s="338"/>
      <c r="AQ72" s="338"/>
      <c r="AR72" s="338"/>
      <c r="AS72" s="338"/>
      <c r="AT72" s="338"/>
      <c r="AU72" s="338"/>
      <c r="AV72" s="338"/>
      <c r="AW72" s="338"/>
      <c r="AX72" s="338"/>
      <c r="AY72" s="338"/>
      <c r="AZ72" s="338"/>
      <c r="BA72" s="338"/>
      <c r="BB72" s="338"/>
      <c r="BC72" s="338"/>
      <c r="BD72" s="338"/>
      <c r="BE72" s="338"/>
      <c r="BF72" s="338"/>
      <c r="BG72" s="338"/>
      <c r="BH72" s="11"/>
      <c r="BI72" s="11"/>
      <c r="BJ72" s="11"/>
      <c r="BK72" s="11"/>
      <c r="BL72" s="11"/>
      <c r="BM72" s="11"/>
      <c r="BN72" s="11"/>
      <c r="BO72" s="11"/>
    </row>
    <row r="73" spans="1:69" ht="15">
      <c r="A73" s="11"/>
      <c r="B73" s="105" t="s">
        <v>216</v>
      </c>
      <c r="C73" s="379">
        <v>50000000</v>
      </c>
      <c r="D73" s="11"/>
      <c r="E73" s="11"/>
      <c r="F73" s="11"/>
      <c r="G73" s="11"/>
      <c r="H73" s="11"/>
      <c r="I73" s="11"/>
      <c r="J73" s="143">
        <v>2012</v>
      </c>
      <c r="K73" s="143">
        <f t="shared" ref="K73:Z73" si="151">J73+1</f>
        <v>2013</v>
      </c>
      <c r="L73" s="143">
        <f t="shared" si="151"/>
        <v>2014</v>
      </c>
      <c r="M73" s="143">
        <f t="shared" si="151"/>
        <v>2015</v>
      </c>
      <c r="N73" s="143">
        <f t="shared" si="151"/>
        <v>2016</v>
      </c>
      <c r="O73" s="143">
        <f t="shared" si="151"/>
        <v>2017</v>
      </c>
      <c r="P73" s="143">
        <f t="shared" si="151"/>
        <v>2018</v>
      </c>
      <c r="Q73" s="143">
        <f t="shared" si="151"/>
        <v>2019</v>
      </c>
      <c r="R73" s="143">
        <f t="shared" si="151"/>
        <v>2020</v>
      </c>
      <c r="S73" s="143">
        <f t="shared" si="151"/>
        <v>2021</v>
      </c>
      <c r="T73" s="143">
        <f t="shared" si="151"/>
        <v>2022</v>
      </c>
      <c r="U73" s="143">
        <f t="shared" si="151"/>
        <v>2023</v>
      </c>
      <c r="V73" s="143">
        <f t="shared" si="151"/>
        <v>2024</v>
      </c>
      <c r="W73" s="143">
        <f t="shared" si="151"/>
        <v>2025</v>
      </c>
      <c r="X73" s="143">
        <f t="shared" si="151"/>
        <v>2026</v>
      </c>
      <c r="Y73" s="143">
        <f t="shared" si="151"/>
        <v>2027</v>
      </c>
      <c r="Z73" s="143">
        <f t="shared" si="151"/>
        <v>2028</v>
      </c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</row>
    <row r="74" spans="1:69" ht="15">
      <c r="A74" s="11"/>
      <c r="B74" s="11" t="s">
        <v>133</v>
      </c>
      <c r="C74" s="136">
        <v>20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</row>
    <row r="75" spans="1:69" ht="15">
      <c r="A75" s="11"/>
      <c r="E75" s="11"/>
      <c r="F75" s="11"/>
      <c r="G75" s="11"/>
      <c r="H75" s="11"/>
      <c r="I75" s="11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</row>
    <row r="76" spans="1:69" ht="15">
      <c r="A76" s="11"/>
      <c r="B76" s="143" t="s">
        <v>212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</row>
    <row r="77" spans="1:69" ht="15">
      <c r="A77" s="11"/>
      <c r="B77" s="11" t="s">
        <v>213</v>
      </c>
      <c r="C77" s="111"/>
      <c r="D77" s="11"/>
      <c r="E77" s="11"/>
      <c r="F77" s="11"/>
      <c r="G77" s="11"/>
      <c r="I77" s="11"/>
      <c r="J77" s="143">
        <v>50</v>
      </c>
      <c r="K77" s="143">
        <f>J77-1</f>
        <v>49</v>
      </c>
      <c r="L77" s="143">
        <f t="shared" ref="L77:BG77" si="152">K77-1</f>
        <v>48</v>
      </c>
      <c r="M77" s="143">
        <f t="shared" si="152"/>
        <v>47</v>
      </c>
      <c r="N77" s="143">
        <f t="shared" si="152"/>
        <v>46</v>
      </c>
      <c r="O77" s="143">
        <f t="shared" si="152"/>
        <v>45</v>
      </c>
      <c r="P77" s="143">
        <f t="shared" si="152"/>
        <v>44</v>
      </c>
      <c r="Q77" s="143">
        <f t="shared" si="152"/>
        <v>43</v>
      </c>
      <c r="R77" s="143">
        <f t="shared" si="152"/>
        <v>42</v>
      </c>
      <c r="S77" s="143">
        <f t="shared" si="152"/>
        <v>41</v>
      </c>
      <c r="T77" s="143">
        <f t="shared" si="152"/>
        <v>40</v>
      </c>
      <c r="U77" s="143">
        <f t="shared" si="152"/>
        <v>39</v>
      </c>
      <c r="V77" s="143">
        <f t="shared" si="152"/>
        <v>38</v>
      </c>
      <c r="W77" s="143">
        <f t="shared" si="152"/>
        <v>37</v>
      </c>
      <c r="X77" s="143">
        <f t="shared" si="152"/>
        <v>36</v>
      </c>
      <c r="Y77" s="143">
        <f t="shared" si="152"/>
        <v>35</v>
      </c>
      <c r="Z77" s="143">
        <f t="shared" si="152"/>
        <v>34</v>
      </c>
      <c r="AA77" s="143">
        <f t="shared" si="152"/>
        <v>33</v>
      </c>
      <c r="AB77" s="143">
        <f t="shared" si="152"/>
        <v>32</v>
      </c>
      <c r="AC77" s="143">
        <f t="shared" si="152"/>
        <v>31</v>
      </c>
      <c r="AD77" s="143">
        <f t="shared" si="152"/>
        <v>30</v>
      </c>
      <c r="AE77" s="143">
        <f t="shared" si="152"/>
        <v>29</v>
      </c>
      <c r="AF77" s="143">
        <f t="shared" si="152"/>
        <v>28</v>
      </c>
      <c r="AG77" s="143">
        <f t="shared" si="152"/>
        <v>27</v>
      </c>
      <c r="AH77" s="143">
        <f t="shared" si="152"/>
        <v>26</v>
      </c>
      <c r="AI77" s="143">
        <f t="shared" si="152"/>
        <v>25</v>
      </c>
      <c r="AJ77" s="143">
        <f t="shared" si="152"/>
        <v>24</v>
      </c>
      <c r="AK77" s="143">
        <f t="shared" si="152"/>
        <v>23</v>
      </c>
      <c r="AL77" s="143">
        <f t="shared" si="152"/>
        <v>22</v>
      </c>
      <c r="AM77" s="143">
        <f t="shared" si="152"/>
        <v>21</v>
      </c>
      <c r="AN77" s="143">
        <f t="shared" si="152"/>
        <v>20</v>
      </c>
      <c r="AO77" s="143">
        <f t="shared" si="152"/>
        <v>19</v>
      </c>
      <c r="AP77" s="143">
        <f t="shared" si="152"/>
        <v>18</v>
      </c>
      <c r="AQ77" s="143">
        <f t="shared" si="152"/>
        <v>17</v>
      </c>
      <c r="AR77" s="143">
        <f t="shared" si="152"/>
        <v>16</v>
      </c>
      <c r="AS77" s="143">
        <f t="shared" si="152"/>
        <v>15</v>
      </c>
      <c r="AT77" s="143">
        <f t="shared" si="152"/>
        <v>14</v>
      </c>
      <c r="AU77" s="143">
        <f t="shared" si="152"/>
        <v>13</v>
      </c>
      <c r="AV77" s="143">
        <f t="shared" si="152"/>
        <v>12</v>
      </c>
      <c r="AW77" s="143">
        <f t="shared" si="152"/>
        <v>11</v>
      </c>
      <c r="AX77" s="143">
        <f t="shared" si="152"/>
        <v>10</v>
      </c>
      <c r="AY77" s="143">
        <f t="shared" si="152"/>
        <v>9</v>
      </c>
      <c r="AZ77" s="143">
        <f t="shared" si="152"/>
        <v>8</v>
      </c>
      <c r="BA77" s="143">
        <f t="shared" si="152"/>
        <v>7</v>
      </c>
      <c r="BB77" s="143">
        <f t="shared" si="152"/>
        <v>6</v>
      </c>
      <c r="BC77" s="143">
        <f t="shared" si="152"/>
        <v>5</v>
      </c>
      <c r="BD77" s="143">
        <f t="shared" si="152"/>
        <v>4</v>
      </c>
      <c r="BE77" s="143">
        <f t="shared" si="152"/>
        <v>3</v>
      </c>
      <c r="BF77" s="143">
        <f t="shared" si="152"/>
        <v>2</v>
      </c>
      <c r="BG77" s="143">
        <f t="shared" si="152"/>
        <v>1</v>
      </c>
      <c r="BH77" s="11"/>
      <c r="BI77" s="11"/>
      <c r="BJ77" s="11"/>
      <c r="BK77" s="11"/>
      <c r="BL77" s="11"/>
      <c r="BM77" s="11"/>
      <c r="BN77" s="11"/>
      <c r="BO77" s="11"/>
      <c r="BP77" s="11"/>
      <c r="BQ77" s="11"/>
    </row>
    <row r="78" spans="1:69" ht="15">
      <c r="A78" s="11"/>
      <c r="B78" s="11" t="s">
        <v>214</v>
      </c>
      <c r="C78" s="111">
        <f>HLOOKUP(C65,J77:BG78,2,0)</f>
        <v>279640.03791897779</v>
      </c>
      <c r="D78" s="11"/>
      <c r="E78" s="11"/>
      <c r="F78" s="11"/>
      <c r="G78" s="11"/>
      <c r="H78" s="11"/>
      <c r="I78" s="11"/>
      <c r="J78" s="351">
        <f>J80*J85</f>
        <v>180752.58756692853</v>
      </c>
      <c r="K78" s="351">
        <f t="shared" ref="K78:BG78" si="153">K80*K85</f>
        <v>181465.84644164957</v>
      </c>
      <c r="L78" s="351">
        <f t="shared" si="153"/>
        <v>182225.18416688652</v>
      </c>
      <c r="M78" s="351">
        <f t="shared" si="153"/>
        <v>183033.97404140595</v>
      </c>
      <c r="N78" s="351">
        <f t="shared" si="153"/>
        <v>183895.8866642935</v>
      </c>
      <c r="O78" s="351">
        <f t="shared" si="153"/>
        <v>184814.92258193632</v>
      </c>
      <c r="P78" s="351">
        <f t="shared" si="153"/>
        <v>185795.44936414878</v>
      </c>
      <c r="Q78" s="351">
        <f t="shared" si="153"/>
        <v>186842.24383059549</v>
      </c>
      <c r="R78" s="351">
        <f t="shared" si="153"/>
        <v>187960.54028612172</v>
      </c>
      <c r="S78" s="351">
        <f t="shared" si="153"/>
        <v>189156.08579123698</v>
      </c>
      <c r="T78" s="351">
        <f t="shared" si="153"/>
        <v>190435.20369935327</v>
      </c>
      <c r="U78" s="351">
        <f t="shared" si="153"/>
        <v>191804.86694512912</v>
      </c>
      <c r="V78" s="351">
        <f t="shared" si="153"/>
        <v>193272.78288088675</v>
      </c>
      <c r="W78" s="351">
        <f t="shared" si="153"/>
        <v>194847.49184672744</v>
      </c>
      <c r="X78" s="351">
        <f t="shared" si="153"/>
        <v>196538.48214579772</v>
      </c>
      <c r="Y78" s="351">
        <f t="shared" si="153"/>
        <v>198356.32470691323</v>
      </c>
      <c r="Z78" s="351">
        <f t="shared" si="153"/>
        <v>200312.83148917262</v>
      </c>
      <c r="AA78" s="351">
        <f t="shared" si="153"/>
        <v>202421.24266628179</v>
      </c>
      <c r="AB78" s="351">
        <f t="shared" si="153"/>
        <v>204696.44888788823</v>
      </c>
      <c r="AC78" s="351">
        <f t="shared" si="153"/>
        <v>207155.25654048737</v>
      </c>
      <c r="AD78" s="351">
        <f t="shared" si="153"/>
        <v>209816.70604330057</v>
      </c>
      <c r="AE78" s="351">
        <f t="shared" si="153"/>
        <v>212702.45598306594</v>
      </c>
      <c r="AF78" s="351">
        <f t="shared" si="153"/>
        <v>215837.24955010606</v>
      </c>
      <c r="AG78" s="351">
        <f t="shared" si="153"/>
        <v>219249.48461592925</v>
      </c>
      <c r="AH78" s="351">
        <f t="shared" si="153"/>
        <v>222971.91535900172</v>
      </c>
      <c r="AI78" s="351">
        <f t="shared" si="153"/>
        <v>227042.52227559898</v>
      </c>
      <c r="AJ78" s="351">
        <f t="shared" si="153"/>
        <v>231505.59969175173</v>
      </c>
      <c r="AK78" s="351">
        <f t="shared" si="153"/>
        <v>236413.12697626246</v>
      </c>
      <c r="AL78" s="351">
        <f t="shared" si="153"/>
        <v>241826.51372760776</v>
      </c>
      <c r="AM78" s="351">
        <f t="shared" si="153"/>
        <v>247818.84359728821</v>
      </c>
      <c r="AN78" s="351">
        <f t="shared" si="153"/>
        <v>254477.79127730252</v>
      </c>
      <c r="AO78" s="351">
        <f t="shared" si="153"/>
        <v>261909.46066482848</v>
      </c>
      <c r="AP78" s="351">
        <f t="shared" si="153"/>
        <v>270243.50244527659</v>
      </c>
      <c r="AQ78" s="351">
        <f t="shared" si="153"/>
        <v>279640.03791897779</v>
      </c>
      <c r="AR78" s="351">
        <f t="shared" si="153"/>
        <v>290299.17930938682</v>
      </c>
      <c r="AS78" s="351">
        <f t="shared" si="153"/>
        <v>302474.35825083434</v>
      </c>
      <c r="AT78" s="351">
        <f t="shared" si="153"/>
        <v>316491.36655264685</v>
      </c>
      <c r="AU78" s="351">
        <f t="shared" si="153"/>
        <v>332776.18508819852</v>
      </c>
      <c r="AV78" s="351">
        <f t="shared" si="153"/>
        <v>351896.72722296935</v>
      </c>
      <c r="AW78" s="351">
        <f t="shared" si="153"/>
        <v>374627.35149656009</v>
      </c>
      <c r="AX78" s="351">
        <f t="shared" si="153"/>
        <v>402052.08204522333</v>
      </c>
      <c r="AY78" s="351">
        <f t="shared" si="153"/>
        <v>435736.642794632</v>
      </c>
      <c r="AZ78" s="351">
        <f t="shared" si="153"/>
        <v>478029.51748175529</v>
      </c>
      <c r="BA78" s="351">
        <f t="shared" si="153"/>
        <v>532621.06134556024</v>
      </c>
      <c r="BB78" s="351">
        <f t="shared" si="153"/>
        <v>605661.72477828735</v>
      </c>
      <c r="BC78" s="351">
        <f t="shared" si="153"/>
        <v>708222.14569466398</v>
      </c>
      <c r="BD78" s="351">
        <f t="shared" si="153"/>
        <v>862443.38088953937</v>
      </c>
      <c r="BE78" s="351">
        <f t="shared" si="153"/>
        <v>1119987.600706819</v>
      </c>
      <c r="BF78" s="351">
        <f t="shared" si="153"/>
        <v>1635840.8686305317</v>
      </c>
      <c r="BG78" s="351">
        <f t="shared" si="153"/>
        <v>3184932.6002882323</v>
      </c>
      <c r="BH78" s="11"/>
      <c r="BI78" s="11"/>
      <c r="BJ78" s="11"/>
      <c r="BK78" s="11"/>
      <c r="BL78" s="11"/>
      <c r="BM78" s="11"/>
      <c r="BN78" s="11"/>
      <c r="BO78" s="11"/>
      <c r="BP78" s="11"/>
      <c r="BQ78" s="11"/>
    </row>
    <row r="79" spans="1:69" ht="15">
      <c r="A79" s="11"/>
      <c r="B79" s="11" t="s">
        <v>215</v>
      </c>
      <c r="C79" s="111">
        <f>HLOOKUP(C74,J77:BG79,3,0)</f>
        <v>4103840.2659068415</v>
      </c>
      <c r="D79" s="11"/>
      <c r="E79" s="11"/>
      <c r="F79" s="11"/>
      <c r="G79" s="336"/>
      <c r="H79" s="11"/>
      <c r="I79" s="11"/>
      <c r="J79" s="336">
        <f>J81*J85</f>
        <v>2914909.5616587694</v>
      </c>
      <c r="K79" s="336">
        <f t="shared" ref="K79:BG79" si="154">K81*K85</f>
        <v>2926411.9425754049</v>
      </c>
      <c r="L79" s="336">
        <f t="shared" si="154"/>
        <v>2938657.4148290283</v>
      </c>
      <c r="M79" s="336">
        <f t="shared" si="154"/>
        <v>2951700.3779774066</v>
      </c>
      <c r="N79" s="336">
        <f t="shared" si="154"/>
        <v>2965600.0259967693</v>
      </c>
      <c r="O79" s="336">
        <f t="shared" si="154"/>
        <v>2980420.8737639021</v>
      </c>
      <c r="P79" s="336">
        <f t="shared" si="154"/>
        <v>2996233.3549648994</v>
      </c>
      <c r="Q79" s="336">
        <f t="shared" si="154"/>
        <v>3013114.5030602603</v>
      </c>
      <c r="R79" s="336">
        <f t="shared" si="154"/>
        <v>3031148.7291527386</v>
      </c>
      <c r="S79" s="336">
        <f t="shared" si="154"/>
        <v>3050428.7133076997</v>
      </c>
      <c r="T79" s="336">
        <f t="shared" si="154"/>
        <v>3071056.4291874329</v>
      </c>
      <c r="U79" s="336">
        <f t="shared" si="154"/>
        <v>3093144.3259368297</v>
      </c>
      <c r="V79" s="336">
        <f t="shared" si="154"/>
        <v>3116816.6962992558</v>
      </c>
      <c r="W79" s="336">
        <f t="shared" si="154"/>
        <v>3142211.2662091288</v>
      </c>
      <c r="X79" s="336">
        <f t="shared" si="154"/>
        <v>3169481.0489424304</v>
      </c>
      <c r="Y79" s="336">
        <f t="shared" si="154"/>
        <v>3198796.5167557131</v>
      </c>
      <c r="Z79" s="336">
        <f t="shared" si="154"/>
        <v>3230348.1554006999</v>
      </c>
      <c r="AA79" s="336">
        <f t="shared" si="154"/>
        <v>3264349.4827553532</v>
      </c>
      <c r="AB79" s="336">
        <f t="shared" si="154"/>
        <v>3301040.6331249187</v>
      </c>
      <c r="AC79" s="336">
        <f t="shared" si="154"/>
        <v>3340692.6349762729</v>
      </c>
      <c r="AD79" s="336">
        <f t="shared" si="154"/>
        <v>3383612.5439416128</v>
      </c>
      <c r="AE79" s="336">
        <f t="shared" si="154"/>
        <v>3430149.6375744417</v>
      </c>
      <c r="AF79" s="336">
        <f t="shared" si="154"/>
        <v>3480702.9373384533</v>
      </c>
      <c r="AG79" s="336">
        <f t="shared" si="154"/>
        <v>3535730.401973295</v>
      </c>
      <c r="AH79" s="336">
        <f t="shared" si="154"/>
        <v>3595760.2422740697</v>
      </c>
      <c r="AI79" s="336">
        <f t="shared" si="154"/>
        <v>3661404.9513355661</v>
      </c>
      <c r="AJ79" s="336">
        <f t="shared" si="154"/>
        <v>3733378.8423314546</v>
      </c>
      <c r="AK79" s="336">
        <f t="shared" si="154"/>
        <v>3812520.1614034427</v>
      </c>
      <c r="AL79" s="336">
        <f t="shared" si="154"/>
        <v>3899819.2314464124</v>
      </c>
      <c r="AM79" s="336">
        <f t="shared" si="154"/>
        <v>3996454.6371624013</v>
      </c>
      <c r="AN79" s="336">
        <f t="shared" si="154"/>
        <v>4103840.2659068415</v>
      </c>
      <c r="AO79" s="336">
        <f t="shared" si="154"/>
        <v>4223687.2039141059</v>
      </c>
      <c r="AP79" s="336">
        <f t="shared" si="154"/>
        <v>4358086.2650843738</v>
      </c>
      <c r="AQ79" s="336">
        <f t="shared" si="154"/>
        <v>4509619.648188035</v>
      </c>
      <c r="AR79" s="336">
        <f t="shared" si="154"/>
        <v>4681514.4662717395</v>
      </c>
      <c r="AS79" s="336">
        <f t="shared" si="154"/>
        <v>4877857.6887342725</v>
      </c>
      <c r="AT79" s="336">
        <f t="shared" si="154"/>
        <v>5103903.2025207607</v>
      </c>
      <c r="AU79" s="336">
        <f t="shared" si="154"/>
        <v>5366520.5951574268</v>
      </c>
      <c r="AV79" s="336">
        <f t="shared" si="154"/>
        <v>5674868.3308273554</v>
      </c>
      <c r="AW79" s="336">
        <f t="shared" si="154"/>
        <v>6041434.1151928427</v>
      </c>
      <c r="AX79" s="336">
        <f t="shared" si="154"/>
        <v>6483699.4812286887</v>
      </c>
      <c r="AY79" s="336">
        <f t="shared" si="154"/>
        <v>7026914.1014474472</v>
      </c>
      <c r="AZ79" s="336">
        <f t="shared" si="154"/>
        <v>7708950.8372694692</v>
      </c>
      <c r="BA79" s="336">
        <f t="shared" si="154"/>
        <v>8589322.2628536075</v>
      </c>
      <c r="BB79" s="336">
        <f t="shared" si="154"/>
        <v>9767213.717110781</v>
      </c>
      <c r="BC79" s="336">
        <f t="shared" si="154"/>
        <v>11421156.023558805</v>
      </c>
      <c r="BD79" s="336">
        <f t="shared" si="154"/>
        <v>13908207.296968177</v>
      </c>
      <c r="BE79" s="336">
        <f t="shared" si="154"/>
        <v>18061498.372911211</v>
      </c>
      <c r="BF79" s="336">
        <f t="shared" si="154"/>
        <v>26380414.540719766</v>
      </c>
      <c r="BG79" s="336">
        <f t="shared" si="154"/>
        <v>51361867.70428016</v>
      </c>
      <c r="BH79" s="11"/>
      <c r="BI79" s="11"/>
      <c r="BJ79" s="11"/>
      <c r="BK79" s="11"/>
      <c r="BL79" s="11"/>
      <c r="BM79" s="11"/>
      <c r="BN79" s="11"/>
      <c r="BO79" s="11"/>
      <c r="BP79" s="11"/>
      <c r="BQ79" s="11"/>
    </row>
    <row r="80" spans="1:69" ht="15">
      <c r="A80" s="11"/>
      <c r="B80" s="11"/>
      <c r="C80" s="11"/>
      <c r="D80" s="11"/>
      <c r="E80" s="11"/>
      <c r="F80" s="11"/>
      <c r="G80" s="11"/>
      <c r="H80" s="11"/>
      <c r="I80" s="11"/>
      <c r="J80" s="336">
        <f>'Opening RAB'!$J$84/J82</f>
        <v>3425.8860354132416</v>
      </c>
      <c r="K80" s="336">
        <f>'Opening RAB'!$J$84/K82</f>
        <v>3439.4047554018921</v>
      </c>
      <c r="L80" s="336">
        <f>'Opening RAB'!$J$84/L82</f>
        <v>3453.7968288104594</v>
      </c>
      <c r="M80" s="336">
        <f>'Opening RAB'!$J$84/M82</f>
        <v>3469.1261913053327</v>
      </c>
      <c r="N80" s="336">
        <f>'Opening RAB'!$J$84/N82</f>
        <v>3485.4624134211213</v>
      </c>
      <c r="O80" s="336">
        <f>'Opening RAB'!$J$84/O82</f>
        <v>3502.8813193337678</v>
      </c>
      <c r="P80" s="336">
        <f>'Opening RAB'!$J$84/P82</f>
        <v>3521.4656895812282</v>
      </c>
      <c r="Q80" s="336">
        <f>'Opening RAB'!$J$84/Q82</f>
        <v>3541.306061400081</v>
      </c>
      <c r="R80" s="336">
        <f>'Opening RAB'!$J$84/R82</f>
        <v>3562.5016429516913</v>
      </c>
      <c r="S80" s="336">
        <f>'Opening RAB'!$J$84/S82</f>
        <v>3585.1613608888351</v>
      </c>
      <c r="T80" s="336">
        <f>'Opening RAB'!$J$84/T82</f>
        <v>3609.405064605884</v>
      </c>
      <c r="U80" s="336">
        <f>'Opening RAB'!$J$84/U82</f>
        <v>3635.3649153061397</v>
      </c>
      <c r="V80" s="336">
        <f>'Opening RAB'!$J$84/V82</f>
        <v>3663.1869939450444</v>
      </c>
      <c r="W80" s="336">
        <f>'Opening RAB'!$J$84/W82</f>
        <v>3693.0331694744323</v>
      </c>
      <c r="X80" s="336">
        <f>'Opening RAB'!$J$84/X82</f>
        <v>3725.0832780210617</v>
      </c>
      <c r="Y80" s="336">
        <f>'Opening RAB'!$J$84/Y82</f>
        <v>3759.5376752085954</v>
      </c>
      <c r="Z80" s="336">
        <f>'Opening RAB'!$J$84/Z82</f>
        <v>3796.6202384723265</v>
      </c>
      <c r="AA80" s="336">
        <f>'Opening RAB'!$J$84/AA82</f>
        <v>3836.5819148488426</v>
      </c>
      <c r="AB80" s="336">
        <f>'Opening RAB'!$J$84/AB82</f>
        <v>3879.704933596227</v>
      </c>
      <c r="AC80" s="336">
        <f>'Opening RAB'!$J$84/AC82</f>
        <v>3926.3078338047094</v>
      </c>
      <c r="AD80" s="336">
        <f>'Opening RAB'!$J$84/AD82</f>
        <v>3976.7514972032718</v>
      </c>
      <c r="AE80" s="336">
        <f>'Opening RAB'!$J$84/AE82</f>
        <v>4031.4464288411168</v>
      </c>
      <c r="AF80" s="336">
        <f>'Opening RAB'!$J$84/AF82</f>
        <v>4090.8615976626943</v>
      </c>
      <c r="AG80" s="336">
        <f>'Opening RAB'!$J$84/AG82</f>
        <v>4155.535241447863</v>
      </c>
      <c r="AH80" s="336">
        <f>'Opening RAB'!$J$84/AH82</f>
        <v>4226.0881650443944</v>
      </c>
      <c r="AI80" s="336">
        <f>'Opening RAB'!$J$84/AI82</f>
        <v>4303.2402300794993</v>
      </c>
      <c r="AJ80" s="336">
        <f>'Opening RAB'!$J$84/AJ82</f>
        <v>4387.8309670685585</v>
      </c>
      <c r="AK80" s="336">
        <f>'Opening RAB'!$J$84/AK82</f>
        <v>4480.8455646393368</v>
      </c>
      <c r="AL80" s="336">
        <f>'Opening RAB'!$J$84/AL82</f>
        <v>4583.4479468534109</v>
      </c>
      <c r="AM80" s="336">
        <f>'Opening RAB'!$J$84/AM82</f>
        <v>4697.0233014110681</v>
      </c>
      <c r="AN80" s="336">
        <f>'Opening RAB'!$J$84/AN82</f>
        <v>4823.2333666421473</v>
      </c>
      <c r="AO80" s="336">
        <f>'Opening RAB'!$J$84/AO82</f>
        <v>4964.0891779876201</v>
      </c>
      <c r="AP80" s="336">
        <f>'Opening RAB'!$J$84/AP82</f>
        <v>5122.048063879728</v>
      </c>
      <c r="AQ80" s="336">
        <f>'Opening RAB'!$J$84/AQ82</f>
        <v>5300.14487617957</v>
      </c>
      <c r="AR80" s="336">
        <f>'Opening RAB'!$J$84/AR82</f>
        <v>5502.1724329102653</v>
      </c>
      <c r="AS80" s="336">
        <f>'Opening RAB'!$J$84/AS82</f>
        <v>5732.9341391498392</v>
      </c>
      <c r="AT80" s="336">
        <f>'Opening RAB'!$J$84/AT82</f>
        <v>5998.6048752972265</v>
      </c>
      <c r="AU80" s="336">
        <f>'Opening RAB'!$J$84/AU82</f>
        <v>6307.2584506687399</v>
      </c>
      <c r="AV80" s="336">
        <f>'Opening RAB'!$J$84/AV82</f>
        <v>6669.6587856835122</v>
      </c>
      <c r="AW80" s="336">
        <f>'Opening RAB'!$J$84/AW82</f>
        <v>7100.4826500792869</v>
      </c>
      <c r="AX80" s="336">
        <f>'Opening RAB'!$J$84/AX82</f>
        <v>7620.276046546418</v>
      </c>
      <c r="AY80" s="336">
        <f>'Opening RAB'!$J$84/AY82</f>
        <v>8258.7148530597606</v>
      </c>
      <c r="AZ80" s="336">
        <f>'Opening RAB'!$J$84/AZ82</f>
        <v>9060.3109504569729</v>
      </c>
      <c r="BA80" s="336">
        <f>'Opening RAB'!$J$84/BA82</f>
        <v>10095.009320710777</v>
      </c>
      <c r="BB80" s="336">
        <f>'Opening RAB'!$J$84/BB82</f>
        <v>11479.382248588472</v>
      </c>
      <c r="BC80" s="336">
        <f>'Opening RAB'!$J$84/BC82</f>
        <v>13423.256571678969</v>
      </c>
      <c r="BD80" s="336">
        <f>'Opening RAB'!$J$84/BD82</f>
        <v>16346.281813697542</v>
      </c>
      <c r="BE80" s="336">
        <f>'Opening RAB'!$J$84/BE82</f>
        <v>21227.634595696938</v>
      </c>
      <c r="BF80" s="336">
        <f>'Opening RAB'!$J$84/BF82</f>
        <v>31004.836298260445</v>
      </c>
      <c r="BG80" s="336">
        <f>'Opening RAB'!$J$84/BG82</f>
        <v>60365.476732219206</v>
      </c>
      <c r="BH80" s="11"/>
      <c r="BI80" s="11"/>
      <c r="BJ80" s="11"/>
      <c r="BK80" s="11"/>
      <c r="BL80" s="11"/>
      <c r="BM80" s="11"/>
      <c r="BN80" s="11"/>
      <c r="BO80" s="11"/>
      <c r="BP80" s="11"/>
      <c r="BQ80" s="11"/>
    </row>
    <row r="81" spans="1:69" ht="15.75" thickBot="1">
      <c r="A81" s="11"/>
      <c r="B81" s="105" t="s">
        <v>259</v>
      </c>
      <c r="C81" s="11"/>
      <c r="D81" s="11"/>
      <c r="E81" s="11"/>
      <c r="F81" s="11"/>
      <c r="G81" s="11"/>
      <c r="H81" s="11"/>
      <c r="I81" s="11"/>
      <c r="J81" s="336">
        <f>$C$73/J82</f>
        <v>55247.607219352642</v>
      </c>
      <c r="K81" s="336">
        <f t="shared" ref="K81:BG81" si="155">$C$73/K82</f>
        <v>55465.61707850176</v>
      </c>
      <c r="L81" s="336">
        <f t="shared" si="155"/>
        <v>55697.711085870782</v>
      </c>
      <c r="M81" s="336">
        <f t="shared" si="155"/>
        <v>55944.920301030121</v>
      </c>
      <c r="N81" s="336">
        <f t="shared" si="155"/>
        <v>56208.366654344769</v>
      </c>
      <c r="O81" s="336">
        <f t="shared" si="155"/>
        <v>56489.272925629019</v>
      </c>
      <c r="P81" s="336">
        <f t="shared" si="155"/>
        <v>56788.974076583065</v>
      </c>
      <c r="Q81" s="336">
        <f t="shared" si="155"/>
        <v>57108.930157434326</v>
      </c>
      <c r="R81" s="336">
        <f t="shared" si="155"/>
        <v>57450.741050220742</v>
      </c>
      <c r="S81" s="336">
        <f t="shared" si="155"/>
        <v>57816.163362391038</v>
      </c>
      <c r="T81" s="336">
        <f t="shared" si="155"/>
        <v>58207.129847165052</v>
      </c>
      <c r="U81" s="336">
        <f t="shared" si="155"/>
        <v>58625.771804350807</v>
      </c>
      <c r="V81" s="336">
        <f t="shared" si="155"/>
        <v>59074.445010867072</v>
      </c>
      <c r="W81" s="336">
        <f t="shared" si="155"/>
        <v>59555.759849014801</v>
      </c>
      <c r="X81" s="336">
        <f t="shared" si="155"/>
        <v>60072.616449035413</v>
      </c>
      <c r="Y81" s="336">
        <f t="shared" si="155"/>
        <v>60628.245849173014</v>
      </c>
      <c r="Z81" s="336">
        <f t="shared" si="155"/>
        <v>61226.258412551899</v>
      </c>
      <c r="AA81" s="336">
        <f t="shared" si="155"/>
        <v>61870.701040664702</v>
      </c>
      <c r="AB81" s="336">
        <f t="shared" si="155"/>
        <v>62566.125108260952</v>
      </c>
      <c r="AC81" s="336">
        <f t="shared" si="155"/>
        <v>63317.667541192568</v>
      </c>
      <c r="AD81" s="336">
        <f t="shared" si="155"/>
        <v>64131.148104568303</v>
      </c>
      <c r="AE81" s="336">
        <f t="shared" si="155"/>
        <v>65013.186814782581</v>
      </c>
      <c r="AF81" s="336">
        <f t="shared" si="155"/>
        <v>65971.34650719339</v>
      </c>
      <c r="AG81" s="336">
        <f t="shared" si="155"/>
        <v>67014.307082166604</v>
      </c>
      <c r="AH81" s="336">
        <f t="shared" si="155"/>
        <v>68152.079959240145</v>
      </c>
      <c r="AI81" s="336">
        <f t="shared" si="155"/>
        <v>69396.273998726712</v>
      </c>
      <c r="AJ81" s="336">
        <f t="shared" si="155"/>
        <v>70760.427903222648</v>
      </c>
      <c r="AK81" s="336">
        <f t="shared" si="155"/>
        <v>72260.429333257576</v>
      </c>
      <c r="AL81" s="336">
        <f t="shared" si="155"/>
        <v>73915.048329259676</v>
      </c>
      <c r="AM81" s="336">
        <f t="shared" si="155"/>
        <v>75746.623143348101</v>
      </c>
      <c r="AN81" s="336">
        <f t="shared" si="155"/>
        <v>77781.951825895609</v>
      </c>
      <c r="AO81" s="336">
        <f t="shared" si="155"/>
        <v>80053.465372854349</v>
      </c>
      <c r="AP81" s="336">
        <f t="shared" si="155"/>
        <v>82600.791931404339</v>
      </c>
      <c r="AQ81" s="336">
        <f t="shared" si="155"/>
        <v>85472.873089753091</v>
      </c>
      <c r="AR81" s="336">
        <f t="shared" si="155"/>
        <v>88730.873789824996</v>
      </c>
      <c r="AS81" s="336">
        <f t="shared" si="155"/>
        <v>92452.256222225085</v>
      </c>
      <c r="AT81" s="336">
        <f t="shared" si="155"/>
        <v>96736.599696767036</v>
      </c>
      <c r="AU81" s="336">
        <f t="shared" si="155"/>
        <v>101714.1066315292</v>
      </c>
      <c r="AV81" s="336">
        <f t="shared" si="155"/>
        <v>107558.36156531681</v>
      </c>
      <c r="AW81" s="336">
        <f t="shared" si="155"/>
        <v>114506.04966551081</v>
      </c>
      <c r="AX81" s="336">
        <f t="shared" si="155"/>
        <v>122888.50638076036</v>
      </c>
      <c r="AY81" s="336">
        <f t="shared" si="155"/>
        <v>133184.30024291278</v>
      </c>
      <c r="AZ81" s="336">
        <f t="shared" si="155"/>
        <v>146111.25282679385</v>
      </c>
      <c r="BA81" s="336">
        <f t="shared" si="155"/>
        <v>162797.33302893079</v>
      </c>
      <c r="BB81" s="336">
        <f t="shared" si="155"/>
        <v>185122.44570748683</v>
      </c>
      <c r="BC81" s="336">
        <f t="shared" si="155"/>
        <v>216470.36679293952</v>
      </c>
      <c r="BD81" s="336">
        <f t="shared" si="155"/>
        <v>263608.58119761571</v>
      </c>
      <c r="BE81" s="336">
        <f t="shared" si="155"/>
        <v>342327.79672647285</v>
      </c>
      <c r="BF81" s="336">
        <f t="shared" si="155"/>
        <v>500000</v>
      </c>
      <c r="BG81" s="336">
        <f t="shared" si="155"/>
        <v>973484.84848484863</v>
      </c>
      <c r="BH81" s="11"/>
      <c r="BI81" s="11"/>
      <c r="BJ81" s="11"/>
      <c r="BK81" s="11"/>
      <c r="BL81" s="11"/>
      <c r="BM81" s="11"/>
      <c r="BN81" s="11"/>
      <c r="BO81" s="11"/>
      <c r="BP81" s="11"/>
      <c r="BQ81" s="11"/>
    </row>
    <row r="82" spans="1:69" ht="15">
      <c r="A82" s="11"/>
      <c r="B82" s="340" t="s">
        <v>4</v>
      </c>
      <c r="C82" s="341"/>
      <c r="D82" s="11"/>
      <c r="E82" s="11"/>
      <c r="F82" s="11"/>
      <c r="G82" s="11"/>
      <c r="I82" s="341"/>
      <c r="J82" s="342">
        <f t="shared" ref="J82:BE82" si="156">J86+J83</f>
        <v>905.01657024678411</v>
      </c>
      <c r="K82" s="342">
        <f t="shared" si="156"/>
        <v>901.45936588488416</v>
      </c>
      <c r="L82" s="342">
        <f t="shared" si="156"/>
        <v>897.70295807871787</v>
      </c>
      <c r="M82" s="342">
        <f t="shared" si="156"/>
        <v>893.73619143540623</v>
      </c>
      <c r="N82" s="342">
        <f t="shared" si="156"/>
        <v>889.54728586006911</v>
      </c>
      <c r="O82" s="342">
        <f t="shared" si="156"/>
        <v>885.12380157251312</v>
      </c>
      <c r="P82" s="342">
        <f t="shared" si="156"/>
        <v>880.45260216485406</v>
      </c>
      <c r="Q82" s="342">
        <f t="shared" si="156"/>
        <v>875.51981559036608</v>
      </c>
      <c r="R82" s="342">
        <f t="shared" si="156"/>
        <v>870.31079296770679</v>
      </c>
      <c r="S82" s="342">
        <f t="shared" si="156"/>
        <v>864.81006507817858</v>
      </c>
      <c r="T82" s="342">
        <f t="shared" si="156"/>
        <v>859.00129642683669</v>
      </c>
      <c r="U82" s="342">
        <f t="shared" si="156"/>
        <v>852.86723673101972</v>
      </c>
      <c r="V82" s="342">
        <f t="shared" si="156"/>
        <v>846.38966969223702</v>
      </c>
      <c r="W82" s="342">
        <f t="shared" si="156"/>
        <v>839.54935889928242</v>
      </c>
      <c r="X82" s="342">
        <f t="shared" si="156"/>
        <v>832.32599070192236</v>
      </c>
      <c r="Y82" s="342">
        <f t="shared" si="156"/>
        <v>824.69811388551022</v>
      </c>
      <c r="Z82" s="342">
        <f t="shared" si="156"/>
        <v>816.64307596737899</v>
      </c>
      <c r="AA82" s="342">
        <f t="shared" si="156"/>
        <v>808.13695592583235</v>
      </c>
      <c r="AB82" s="342">
        <f t="shared" si="156"/>
        <v>799.15449316195907</v>
      </c>
      <c r="AC82" s="342">
        <f t="shared" si="156"/>
        <v>789.66901248330896</v>
      </c>
      <c r="AD82" s="342">
        <f t="shared" si="156"/>
        <v>779.65234488665442</v>
      </c>
      <c r="AE82" s="342">
        <f t="shared" si="156"/>
        <v>769.07474390458719</v>
      </c>
      <c r="AF82" s="342">
        <f t="shared" si="156"/>
        <v>757.90479726752426</v>
      </c>
      <c r="AG82" s="342">
        <f t="shared" si="156"/>
        <v>746.10933361878574</v>
      </c>
      <c r="AH82" s="342">
        <f t="shared" si="156"/>
        <v>733.65332400571788</v>
      </c>
      <c r="AI82" s="342">
        <f t="shared" si="156"/>
        <v>720.49977785431827</v>
      </c>
      <c r="AJ82" s="342">
        <f t="shared" si="156"/>
        <v>706.60963311844023</v>
      </c>
      <c r="AK82" s="342">
        <f t="shared" si="156"/>
        <v>691.94164027735303</v>
      </c>
      <c r="AL82" s="342">
        <f t="shared" si="156"/>
        <v>676.45223983716494</v>
      </c>
      <c r="AM82" s="342">
        <f t="shared" si="156"/>
        <v>660.09543297232631</v>
      </c>
      <c r="AN82" s="342">
        <f t="shared" si="156"/>
        <v>642.82264492305671</v>
      </c>
      <c r="AO82" s="342">
        <f t="shared" si="156"/>
        <v>624.58258074302807</v>
      </c>
      <c r="AP82" s="342">
        <f t="shared" si="156"/>
        <v>605.32107296891775</v>
      </c>
      <c r="AQ82" s="342">
        <f t="shared" si="156"/>
        <v>584.98092075945726</v>
      </c>
      <c r="AR82" s="342">
        <f t="shared" si="156"/>
        <v>563.50172002626698</v>
      </c>
      <c r="AS82" s="342">
        <f t="shared" si="156"/>
        <v>540.81968405201815</v>
      </c>
      <c r="AT82" s="342">
        <f t="shared" si="156"/>
        <v>516.86745406321131</v>
      </c>
      <c r="AU82" s="342">
        <f t="shared" si="156"/>
        <v>491.57389919503134</v>
      </c>
      <c r="AV82" s="342">
        <f t="shared" si="156"/>
        <v>464.86390525423326</v>
      </c>
      <c r="AW82" s="342">
        <f t="shared" si="156"/>
        <v>436.65815165275046</v>
      </c>
      <c r="AX82" s="342">
        <f t="shared" si="156"/>
        <v>406.87287584958466</v>
      </c>
      <c r="AY82" s="342">
        <f t="shared" si="156"/>
        <v>375.41962460144157</v>
      </c>
      <c r="AZ82" s="342">
        <f t="shared" si="156"/>
        <v>342.20499128340248</v>
      </c>
      <c r="BA82" s="342">
        <f t="shared" si="156"/>
        <v>307.13033849955315</v>
      </c>
      <c r="BB82" s="342">
        <f t="shared" si="156"/>
        <v>270.09150515980826</v>
      </c>
      <c r="BC82" s="342">
        <f t="shared" si="156"/>
        <v>230.97849715303767</v>
      </c>
      <c r="BD82" s="342">
        <f t="shared" si="156"/>
        <v>189.67516069788795</v>
      </c>
      <c r="BE82" s="342">
        <f t="shared" si="156"/>
        <v>146.05883740124983</v>
      </c>
      <c r="BF82" s="342">
        <v>100</v>
      </c>
      <c r="BG82" s="343">
        <f>BG83</f>
        <v>51.361867704280151</v>
      </c>
      <c r="BH82" s="11"/>
      <c r="BI82" s="11"/>
      <c r="BJ82" s="11"/>
      <c r="BK82" s="11"/>
      <c r="BL82" s="11"/>
      <c r="BM82" s="11"/>
      <c r="BN82" s="11"/>
      <c r="BO82" s="11"/>
      <c r="BP82" s="11"/>
      <c r="BQ82" s="11"/>
    </row>
    <row r="83" spans="1:69" ht="15">
      <c r="A83" s="11"/>
      <c r="B83" s="344" t="s">
        <v>31</v>
      </c>
      <c r="C83" s="14"/>
      <c r="D83" s="11"/>
      <c r="E83" s="11"/>
      <c r="F83" s="11"/>
      <c r="G83" s="11"/>
      <c r="I83" s="14"/>
      <c r="J83" s="345">
        <f t="shared" ref="J83:BE83" si="157">(J85-J86*J88)/(1+J88/2)</f>
        <v>3.5572043618999305</v>
      </c>
      <c r="K83" s="345">
        <f t="shared" si="157"/>
        <v>3.756407806166326</v>
      </c>
      <c r="L83" s="345">
        <f t="shared" si="157"/>
        <v>3.9667666433116411</v>
      </c>
      <c r="M83" s="345">
        <f t="shared" si="157"/>
        <v>4.1889055753370918</v>
      </c>
      <c r="N83" s="345">
        <f t="shared" si="157"/>
        <v>4.4234842875559695</v>
      </c>
      <c r="O83" s="345">
        <f t="shared" si="157"/>
        <v>4.6711994076591026</v>
      </c>
      <c r="P83" s="345">
        <f t="shared" si="157"/>
        <v>4.9327865744880075</v>
      </c>
      <c r="Q83" s="345">
        <f t="shared" si="157"/>
        <v>5.2090226226593384</v>
      </c>
      <c r="R83" s="345">
        <f t="shared" si="157"/>
        <v>5.5007278895282532</v>
      </c>
      <c r="S83" s="345">
        <f t="shared" si="157"/>
        <v>5.808768651341838</v>
      </c>
      <c r="T83" s="345">
        <f t="shared" si="157"/>
        <v>6.1340596958169797</v>
      </c>
      <c r="U83" s="345">
        <f t="shared" si="157"/>
        <v>6.4775670387827313</v>
      </c>
      <c r="V83" s="345">
        <f t="shared" si="157"/>
        <v>6.8403107929545666</v>
      </c>
      <c r="W83" s="345">
        <f t="shared" si="157"/>
        <v>7.2233681973600268</v>
      </c>
      <c r="X83" s="345">
        <f t="shared" si="157"/>
        <v>7.6278768164121855</v>
      </c>
      <c r="Y83" s="345">
        <f t="shared" si="157"/>
        <v>8.0550379181312657</v>
      </c>
      <c r="Z83" s="345">
        <f t="shared" si="157"/>
        <v>8.5061200415466178</v>
      </c>
      <c r="AA83" s="345">
        <f t="shared" si="157"/>
        <v>8.9824627638732313</v>
      </c>
      <c r="AB83" s="345">
        <f t="shared" si="157"/>
        <v>9.4854806786501307</v>
      </c>
      <c r="AC83" s="345">
        <f t="shared" si="157"/>
        <v>10.016667596654536</v>
      </c>
      <c r="AD83" s="345">
        <f t="shared" si="157"/>
        <v>10.577600982067191</v>
      </c>
      <c r="AE83" s="345">
        <f t="shared" si="157"/>
        <v>11.169946637062955</v>
      </c>
      <c r="AF83" s="345">
        <f t="shared" si="157"/>
        <v>11.795463648738481</v>
      </c>
      <c r="AG83" s="345">
        <f t="shared" si="157"/>
        <v>12.456009613067836</v>
      </c>
      <c r="AH83" s="345">
        <f t="shared" si="157"/>
        <v>13.153546151399636</v>
      </c>
      <c r="AI83" s="345">
        <f t="shared" si="157"/>
        <v>13.890144735878021</v>
      </c>
      <c r="AJ83" s="345">
        <f t="shared" si="157"/>
        <v>14.667992841087187</v>
      </c>
      <c r="AK83" s="345">
        <f t="shared" si="157"/>
        <v>15.489400440188074</v>
      </c>
      <c r="AL83" s="345">
        <f t="shared" si="157"/>
        <v>16.356806864838603</v>
      </c>
      <c r="AM83" s="345">
        <f t="shared" si="157"/>
        <v>17.272788049269568</v>
      </c>
      <c r="AN83" s="345">
        <f t="shared" si="157"/>
        <v>18.240064180028661</v>
      </c>
      <c r="AO83" s="345">
        <f t="shared" si="157"/>
        <v>19.261507774110271</v>
      </c>
      <c r="AP83" s="345">
        <f t="shared" si="157"/>
        <v>20.340152209460449</v>
      </c>
      <c r="AQ83" s="345">
        <f t="shared" si="157"/>
        <v>21.479200733190236</v>
      </c>
      <c r="AR83" s="345">
        <f t="shared" si="157"/>
        <v>22.682035974248887</v>
      </c>
      <c r="AS83" s="345">
        <f t="shared" si="157"/>
        <v>23.952229988806824</v>
      </c>
      <c r="AT83" s="345">
        <f t="shared" si="157"/>
        <v>25.293554868180006</v>
      </c>
      <c r="AU83" s="345">
        <f t="shared" si="157"/>
        <v>26.709993940798086</v>
      </c>
      <c r="AV83" s="345">
        <f t="shared" si="157"/>
        <v>28.20575360148278</v>
      </c>
      <c r="AW83" s="345">
        <f t="shared" si="157"/>
        <v>29.785275803165817</v>
      </c>
      <c r="AX83" s="345">
        <f t="shared" si="157"/>
        <v>31.453251248143101</v>
      </c>
      <c r="AY83" s="345">
        <f t="shared" si="157"/>
        <v>33.214633318039112</v>
      </c>
      <c r="AZ83" s="345">
        <f t="shared" si="157"/>
        <v>35.074652783849302</v>
      </c>
      <c r="BA83" s="345">
        <f t="shared" si="157"/>
        <v>37.038833339744862</v>
      </c>
      <c r="BB83" s="345">
        <f t="shared" si="157"/>
        <v>39.113008006770578</v>
      </c>
      <c r="BC83" s="345">
        <f t="shared" si="157"/>
        <v>41.303336455149733</v>
      </c>
      <c r="BD83" s="345">
        <f t="shared" si="157"/>
        <v>43.616323296638114</v>
      </c>
      <c r="BE83" s="345">
        <f t="shared" si="157"/>
        <v>46.058837401249846</v>
      </c>
      <c r="BF83" s="345">
        <f>BF85-BF84</f>
        <v>48.638132295719842</v>
      </c>
      <c r="BG83" s="346">
        <f>BF82*(1+BF88/2)/2</f>
        <v>51.361867704280151</v>
      </c>
      <c r="BH83" s="11"/>
      <c r="BI83" s="11"/>
      <c r="BJ83" s="11"/>
      <c r="BK83" s="11"/>
      <c r="BL83" s="11"/>
      <c r="BM83" s="11"/>
      <c r="BN83" s="11"/>
      <c r="BO83" s="11"/>
      <c r="BP83" s="11"/>
      <c r="BQ83" s="11"/>
    </row>
    <row r="84" spans="1:69" ht="15">
      <c r="A84" s="11"/>
      <c r="B84" s="344" t="s">
        <v>41</v>
      </c>
      <c r="C84" s="14"/>
      <c r="D84" s="11"/>
      <c r="E84" s="11"/>
      <c r="F84" s="11"/>
      <c r="G84" s="11"/>
      <c r="I84" s="14"/>
      <c r="J84" s="345">
        <f t="shared" ref="J84:BE84" si="158">J85-J83</f>
        <v>49.203624719539604</v>
      </c>
      <c r="K84" s="345">
        <f t="shared" si="158"/>
        <v>49.004421275273202</v>
      </c>
      <c r="L84" s="345">
        <f t="shared" si="158"/>
        <v>48.794062438127888</v>
      </c>
      <c r="M84" s="345">
        <f t="shared" si="158"/>
        <v>48.571923506102436</v>
      </c>
      <c r="N84" s="345">
        <f t="shared" si="158"/>
        <v>48.33734479388356</v>
      </c>
      <c r="O84" s="345">
        <f t="shared" si="158"/>
        <v>48.089629673780429</v>
      </c>
      <c r="P84" s="345">
        <f t="shared" si="158"/>
        <v>47.828042506951526</v>
      </c>
      <c r="Q84" s="345">
        <f t="shared" si="158"/>
        <v>47.551806458780192</v>
      </c>
      <c r="R84" s="345">
        <f t="shared" si="158"/>
        <v>47.260101191911275</v>
      </c>
      <c r="S84" s="345">
        <f t="shared" si="158"/>
        <v>46.952060430097696</v>
      </c>
      <c r="T84" s="345">
        <f t="shared" si="158"/>
        <v>46.626769385622552</v>
      </c>
      <c r="U84" s="345">
        <f t="shared" si="158"/>
        <v>46.283262042656801</v>
      </c>
      <c r="V84" s="345">
        <f t="shared" si="158"/>
        <v>45.920518288484963</v>
      </c>
      <c r="W84" s="345">
        <f t="shared" si="158"/>
        <v>45.537460884079508</v>
      </c>
      <c r="X84" s="345">
        <f t="shared" si="158"/>
        <v>45.132952265027349</v>
      </c>
      <c r="Y84" s="345">
        <f t="shared" si="158"/>
        <v>44.705791163308263</v>
      </c>
      <c r="Z84" s="345">
        <f t="shared" si="158"/>
        <v>44.254709039892916</v>
      </c>
      <c r="AA84" s="345">
        <f t="shared" si="158"/>
        <v>43.778366317566302</v>
      </c>
      <c r="AB84" s="345">
        <f t="shared" si="158"/>
        <v>43.275348402789405</v>
      </c>
      <c r="AC84" s="345">
        <f t="shared" si="158"/>
        <v>42.744161484784996</v>
      </c>
      <c r="AD84" s="345">
        <f t="shared" si="158"/>
        <v>42.183228099372343</v>
      </c>
      <c r="AE84" s="345">
        <f t="shared" si="158"/>
        <v>41.590882444376575</v>
      </c>
      <c r="AF84" s="345">
        <f t="shared" si="158"/>
        <v>40.965365432701049</v>
      </c>
      <c r="AG84" s="345">
        <f t="shared" si="158"/>
        <v>40.304819468371697</v>
      </c>
      <c r="AH84" s="345">
        <f t="shared" si="158"/>
        <v>39.607282930039894</v>
      </c>
      <c r="AI84" s="345">
        <f t="shared" si="158"/>
        <v>38.870684345561514</v>
      </c>
      <c r="AJ84" s="345">
        <f t="shared" si="158"/>
        <v>38.092836240352341</v>
      </c>
      <c r="AK84" s="345">
        <f t="shared" si="158"/>
        <v>37.271428641251461</v>
      </c>
      <c r="AL84" s="345">
        <f t="shared" si="158"/>
        <v>36.404022216600929</v>
      </c>
      <c r="AM84" s="345">
        <f t="shared" si="158"/>
        <v>35.48804103216996</v>
      </c>
      <c r="AN84" s="345">
        <f t="shared" si="158"/>
        <v>34.520764901410871</v>
      </c>
      <c r="AO84" s="345">
        <f t="shared" si="158"/>
        <v>33.499321307329261</v>
      </c>
      <c r="AP84" s="345">
        <f t="shared" si="158"/>
        <v>32.420676871979083</v>
      </c>
      <c r="AQ84" s="345">
        <f t="shared" si="158"/>
        <v>31.281628348249296</v>
      </c>
      <c r="AR84" s="345">
        <f t="shared" si="158"/>
        <v>30.078793107190645</v>
      </c>
      <c r="AS84" s="345">
        <f t="shared" si="158"/>
        <v>28.808599092632708</v>
      </c>
      <c r="AT84" s="345">
        <f t="shared" si="158"/>
        <v>27.467274213259525</v>
      </c>
      <c r="AU84" s="345">
        <f t="shared" si="158"/>
        <v>26.050835140641446</v>
      </c>
      <c r="AV84" s="345">
        <f t="shared" si="158"/>
        <v>24.555075479956752</v>
      </c>
      <c r="AW84" s="345">
        <f t="shared" si="158"/>
        <v>22.975553278273715</v>
      </c>
      <c r="AX84" s="345">
        <f t="shared" si="158"/>
        <v>21.307577833296431</v>
      </c>
      <c r="AY84" s="345">
        <f t="shared" si="158"/>
        <v>19.546195763400419</v>
      </c>
      <c r="AZ84" s="345">
        <f t="shared" si="158"/>
        <v>17.686176297590229</v>
      </c>
      <c r="BA84" s="345">
        <f t="shared" si="158"/>
        <v>15.72199574169467</v>
      </c>
      <c r="BB84" s="345">
        <f t="shared" si="158"/>
        <v>13.647821074668954</v>
      </c>
      <c r="BC84" s="345">
        <f t="shared" si="158"/>
        <v>11.457492626289799</v>
      </c>
      <c r="BD84" s="345">
        <f t="shared" si="158"/>
        <v>9.1445057848014173</v>
      </c>
      <c r="BE84" s="345">
        <f t="shared" si="158"/>
        <v>6.7019916801896855</v>
      </c>
      <c r="BF84" s="345">
        <f>AVERAGE(BF82,BF86)*BF88</f>
        <v>4.1226967857196923</v>
      </c>
      <c r="BG84" s="346">
        <f>BF88/2*BG82</f>
        <v>1.3989613771593816</v>
      </c>
      <c r="BH84" s="11"/>
      <c r="BI84" s="11"/>
      <c r="BJ84" s="11"/>
      <c r="BK84" s="11"/>
      <c r="BL84" s="11"/>
      <c r="BM84" s="11"/>
      <c r="BN84" s="11"/>
      <c r="BO84" s="11"/>
      <c r="BP84" s="11"/>
      <c r="BQ84" s="11"/>
    </row>
    <row r="85" spans="1:69" ht="15">
      <c r="A85" s="11"/>
      <c r="B85" s="344" t="s">
        <v>204</v>
      </c>
      <c r="C85" s="14"/>
      <c r="D85" s="11"/>
      <c r="E85" s="11"/>
      <c r="F85" s="11"/>
      <c r="G85" s="11"/>
      <c r="I85" s="14"/>
      <c r="J85" s="345">
        <f t="shared" ref="J85:BC85" si="159">K85</f>
        <v>52.760829081439532</v>
      </c>
      <c r="K85" s="345">
        <f t="shared" si="159"/>
        <v>52.760829081439532</v>
      </c>
      <c r="L85" s="345">
        <f t="shared" si="159"/>
        <v>52.760829081439532</v>
      </c>
      <c r="M85" s="345">
        <f t="shared" si="159"/>
        <v>52.760829081439532</v>
      </c>
      <c r="N85" s="345">
        <f t="shared" si="159"/>
        <v>52.760829081439532</v>
      </c>
      <c r="O85" s="345">
        <f t="shared" si="159"/>
        <v>52.760829081439532</v>
      </c>
      <c r="P85" s="345">
        <f t="shared" si="159"/>
        <v>52.760829081439532</v>
      </c>
      <c r="Q85" s="345">
        <f t="shared" si="159"/>
        <v>52.760829081439532</v>
      </c>
      <c r="R85" s="345">
        <f t="shared" si="159"/>
        <v>52.760829081439532</v>
      </c>
      <c r="S85" s="345">
        <f t="shared" si="159"/>
        <v>52.760829081439532</v>
      </c>
      <c r="T85" s="345">
        <f t="shared" si="159"/>
        <v>52.760829081439532</v>
      </c>
      <c r="U85" s="345">
        <f t="shared" si="159"/>
        <v>52.760829081439532</v>
      </c>
      <c r="V85" s="345">
        <f t="shared" si="159"/>
        <v>52.760829081439532</v>
      </c>
      <c r="W85" s="345">
        <f t="shared" si="159"/>
        <v>52.760829081439532</v>
      </c>
      <c r="X85" s="345">
        <f t="shared" si="159"/>
        <v>52.760829081439532</v>
      </c>
      <c r="Y85" s="345">
        <f t="shared" si="159"/>
        <v>52.760829081439532</v>
      </c>
      <c r="Z85" s="345">
        <f t="shared" si="159"/>
        <v>52.760829081439532</v>
      </c>
      <c r="AA85" s="345">
        <f t="shared" si="159"/>
        <v>52.760829081439532</v>
      </c>
      <c r="AB85" s="345">
        <f t="shared" si="159"/>
        <v>52.760829081439532</v>
      </c>
      <c r="AC85" s="345">
        <f t="shared" si="159"/>
        <v>52.760829081439532</v>
      </c>
      <c r="AD85" s="345">
        <f t="shared" si="159"/>
        <v>52.760829081439532</v>
      </c>
      <c r="AE85" s="345">
        <f t="shared" si="159"/>
        <v>52.760829081439532</v>
      </c>
      <c r="AF85" s="345">
        <f t="shared" si="159"/>
        <v>52.760829081439532</v>
      </c>
      <c r="AG85" s="345">
        <f t="shared" si="159"/>
        <v>52.760829081439532</v>
      </c>
      <c r="AH85" s="345">
        <f t="shared" si="159"/>
        <v>52.760829081439532</v>
      </c>
      <c r="AI85" s="345">
        <f t="shared" si="159"/>
        <v>52.760829081439532</v>
      </c>
      <c r="AJ85" s="345">
        <f t="shared" si="159"/>
        <v>52.760829081439532</v>
      </c>
      <c r="AK85" s="345">
        <f t="shared" si="159"/>
        <v>52.760829081439532</v>
      </c>
      <c r="AL85" s="345">
        <f t="shared" si="159"/>
        <v>52.760829081439532</v>
      </c>
      <c r="AM85" s="345">
        <f t="shared" si="159"/>
        <v>52.760829081439532</v>
      </c>
      <c r="AN85" s="345">
        <f t="shared" si="159"/>
        <v>52.760829081439532</v>
      </c>
      <c r="AO85" s="345">
        <f t="shared" si="159"/>
        <v>52.760829081439532</v>
      </c>
      <c r="AP85" s="345">
        <f t="shared" si="159"/>
        <v>52.760829081439532</v>
      </c>
      <c r="AQ85" s="345">
        <f t="shared" si="159"/>
        <v>52.760829081439532</v>
      </c>
      <c r="AR85" s="345">
        <f t="shared" si="159"/>
        <v>52.760829081439532</v>
      </c>
      <c r="AS85" s="345">
        <f t="shared" si="159"/>
        <v>52.760829081439532</v>
      </c>
      <c r="AT85" s="345">
        <f t="shared" si="159"/>
        <v>52.760829081439532</v>
      </c>
      <c r="AU85" s="345">
        <f t="shared" si="159"/>
        <v>52.760829081439532</v>
      </c>
      <c r="AV85" s="345">
        <f t="shared" si="159"/>
        <v>52.760829081439532</v>
      </c>
      <c r="AW85" s="345">
        <f t="shared" si="159"/>
        <v>52.760829081439532</v>
      </c>
      <c r="AX85" s="345">
        <f t="shared" si="159"/>
        <v>52.760829081439532</v>
      </c>
      <c r="AY85" s="345">
        <f t="shared" si="159"/>
        <v>52.760829081439532</v>
      </c>
      <c r="AZ85" s="345">
        <f t="shared" si="159"/>
        <v>52.760829081439532</v>
      </c>
      <c r="BA85" s="345">
        <f t="shared" si="159"/>
        <v>52.760829081439532</v>
      </c>
      <c r="BB85" s="345">
        <f t="shared" si="159"/>
        <v>52.760829081439532</v>
      </c>
      <c r="BC85" s="345">
        <f t="shared" si="159"/>
        <v>52.760829081439532</v>
      </c>
      <c r="BD85" s="345">
        <f>BE85</f>
        <v>52.760829081439532</v>
      </c>
      <c r="BE85" s="345">
        <f>BF85</f>
        <v>52.760829081439532</v>
      </c>
      <c r="BF85" s="345">
        <f>BG85</f>
        <v>52.760829081439532</v>
      </c>
      <c r="BG85" s="346">
        <f>BG83+BG84</f>
        <v>52.760829081439532</v>
      </c>
      <c r="BH85" s="11"/>
      <c r="BI85" s="11"/>
      <c r="BJ85" s="11"/>
      <c r="BK85" s="11"/>
      <c r="BL85" s="11"/>
      <c r="BM85" s="11"/>
      <c r="BN85" s="11"/>
      <c r="BO85" s="11"/>
      <c r="BP85" s="11"/>
      <c r="BQ85" s="11"/>
    </row>
    <row r="86" spans="1:69" ht="15">
      <c r="A86" s="137">
        <f>BG86</f>
        <v>0</v>
      </c>
      <c r="B86" s="344" t="s">
        <v>1</v>
      </c>
      <c r="C86" s="14"/>
      <c r="D86" s="11"/>
      <c r="E86" s="11"/>
      <c r="F86" s="11"/>
      <c r="G86" s="11"/>
      <c r="I86" s="14"/>
      <c r="J86" s="345">
        <f t="shared" ref="J86:BC86" si="160">K82</f>
        <v>901.45936588488416</v>
      </c>
      <c r="K86" s="345">
        <f t="shared" si="160"/>
        <v>897.70295807871787</v>
      </c>
      <c r="L86" s="345">
        <f t="shared" si="160"/>
        <v>893.73619143540623</v>
      </c>
      <c r="M86" s="345">
        <f t="shared" si="160"/>
        <v>889.54728586006911</v>
      </c>
      <c r="N86" s="345">
        <f t="shared" si="160"/>
        <v>885.12380157251312</v>
      </c>
      <c r="O86" s="345">
        <f t="shared" si="160"/>
        <v>880.45260216485406</v>
      </c>
      <c r="P86" s="345">
        <f t="shared" si="160"/>
        <v>875.51981559036608</v>
      </c>
      <c r="Q86" s="345">
        <f t="shared" si="160"/>
        <v>870.31079296770679</v>
      </c>
      <c r="R86" s="345">
        <f t="shared" si="160"/>
        <v>864.81006507817858</v>
      </c>
      <c r="S86" s="345">
        <f t="shared" si="160"/>
        <v>859.00129642683669</v>
      </c>
      <c r="T86" s="345">
        <f t="shared" si="160"/>
        <v>852.86723673101972</v>
      </c>
      <c r="U86" s="345">
        <f t="shared" si="160"/>
        <v>846.38966969223702</v>
      </c>
      <c r="V86" s="345">
        <f t="shared" si="160"/>
        <v>839.54935889928242</v>
      </c>
      <c r="W86" s="345">
        <f t="shared" si="160"/>
        <v>832.32599070192236</v>
      </c>
      <c r="X86" s="345">
        <f t="shared" si="160"/>
        <v>824.69811388551022</v>
      </c>
      <c r="Y86" s="345">
        <f t="shared" si="160"/>
        <v>816.64307596737899</v>
      </c>
      <c r="Z86" s="345">
        <f t="shared" si="160"/>
        <v>808.13695592583235</v>
      </c>
      <c r="AA86" s="345">
        <f t="shared" si="160"/>
        <v>799.15449316195907</v>
      </c>
      <c r="AB86" s="345">
        <f t="shared" si="160"/>
        <v>789.66901248330896</v>
      </c>
      <c r="AC86" s="345">
        <f t="shared" si="160"/>
        <v>779.65234488665442</v>
      </c>
      <c r="AD86" s="345">
        <f t="shared" si="160"/>
        <v>769.07474390458719</v>
      </c>
      <c r="AE86" s="345">
        <f t="shared" si="160"/>
        <v>757.90479726752426</v>
      </c>
      <c r="AF86" s="345">
        <f t="shared" si="160"/>
        <v>746.10933361878574</v>
      </c>
      <c r="AG86" s="345">
        <f t="shared" si="160"/>
        <v>733.65332400571788</v>
      </c>
      <c r="AH86" s="345">
        <f t="shared" si="160"/>
        <v>720.49977785431827</v>
      </c>
      <c r="AI86" s="345">
        <f t="shared" si="160"/>
        <v>706.60963311844023</v>
      </c>
      <c r="AJ86" s="345">
        <f t="shared" si="160"/>
        <v>691.94164027735303</v>
      </c>
      <c r="AK86" s="345">
        <f t="shared" si="160"/>
        <v>676.45223983716494</v>
      </c>
      <c r="AL86" s="345">
        <f t="shared" si="160"/>
        <v>660.09543297232631</v>
      </c>
      <c r="AM86" s="345">
        <f t="shared" si="160"/>
        <v>642.82264492305671</v>
      </c>
      <c r="AN86" s="345">
        <f t="shared" si="160"/>
        <v>624.58258074302807</v>
      </c>
      <c r="AO86" s="345">
        <f t="shared" si="160"/>
        <v>605.32107296891775</v>
      </c>
      <c r="AP86" s="345">
        <f t="shared" si="160"/>
        <v>584.98092075945726</v>
      </c>
      <c r="AQ86" s="345">
        <f t="shared" si="160"/>
        <v>563.50172002626698</v>
      </c>
      <c r="AR86" s="345">
        <f t="shared" si="160"/>
        <v>540.81968405201815</v>
      </c>
      <c r="AS86" s="345">
        <f t="shared" si="160"/>
        <v>516.86745406321131</v>
      </c>
      <c r="AT86" s="345">
        <f t="shared" si="160"/>
        <v>491.57389919503134</v>
      </c>
      <c r="AU86" s="345">
        <f t="shared" si="160"/>
        <v>464.86390525423326</v>
      </c>
      <c r="AV86" s="345">
        <f t="shared" si="160"/>
        <v>436.65815165275046</v>
      </c>
      <c r="AW86" s="345">
        <f t="shared" si="160"/>
        <v>406.87287584958466</v>
      </c>
      <c r="AX86" s="345">
        <f t="shared" si="160"/>
        <v>375.41962460144157</v>
      </c>
      <c r="AY86" s="345">
        <f t="shared" si="160"/>
        <v>342.20499128340248</v>
      </c>
      <c r="AZ86" s="345">
        <f t="shared" si="160"/>
        <v>307.13033849955315</v>
      </c>
      <c r="BA86" s="345">
        <f t="shared" si="160"/>
        <v>270.09150515980826</v>
      </c>
      <c r="BB86" s="345">
        <f t="shared" si="160"/>
        <v>230.97849715303767</v>
      </c>
      <c r="BC86" s="345">
        <f t="shared" si="160"/>
        <v>189.67516069788795</v>
      </c>
      <c r="BD86" s="345">
        <f>BE82</f>
        <v>146.05883740124983</v>
      </c>
      <c r="BE86" s="345">
        <f>BF82</f>
        <v>100</v>
      </c>
      <c r="BF86" s="345">
        <f>BG82</f>
        <v>51.361867704280151</v>
      </c>
      <c r="BG86" s="346">
        <f>BG82-BG83</f>
        <v>0</v>
      </c>
      <c r="BH86" s="11"/>
      <c r="BI86" s="11"/>
      <c r="BJ86" s="11"/>
      <c r="BK86" s="11"/>
      <c r="BL86" s="11"/>
      <c r="BM86" s="11"/>
      <c r="BN86" s="11"/>
      <c r="BO86" s="11"/>
      <c r="BP86" s="11"/>
      <c r="BQ86" s="11"/>
    </row>
    <row r="87" spans="1:69" ht="15">
      <c r="A87" s="11"/>
      <c r="B87" s="344"/>
      <c r="C87" s="14"/>
      <c r="D87" s="11"/>
      <c r="E87" s="11"/>
      <c r="F87" s="11"/>
      <c r="G87" s="11"/>
      <c r="I87" s="14"/>
      <c r="J87" s="332"/>
      <c r="K87" s="332"/>
      <c r="L87" s="332"/>
      <c r="M87" s="332"/>
      <c r="N87" s="332"/>
      <c r="O87" s="332"/>
      <c r="P87" s="332"/>
      <c r="Q87" s="332"/>
      <c r="R87" s="332"/>
      <c r="S87" s="332"/>
      <c r="T87" s="332"/>
      <c r="U87" s="332"/>
      <c r="V87" s="332"/>
      <c r="W87" s="332"/>
      <c r="X87" s="332"/>
      <c r="Y87" s="332"/>
      <c r="Z87" s="332"/>
      <c r="AA87" s="332"/>
      <c r="AB87" s="332"/>
      <c r="AC87" s="332"/>
      <c r="AD87" s="332"/>
      <c r="AE87" s="332"/>
      <c r="AF87" s="332"/>
      <c r="AG87" s="332"/>
      <c r="AH87" s="332"/>
      <c r="AI87" s="332"/>
      <c r="AJ87" s="332"/>
      <c r="AK87" s="332"/>
      <c r="AL87" s="332"/>
      <c r="AM87" s="332"/>
      <c r="AN87" s="332"/>
      <c r="AO87" s="332"/>
      <c r="AP87" s="332"/>
      <c r="AQ87" s="332"/>
      <c r="AR87" s="332"/>
      <c r="AS87" s="332"/>
      <c r="AT87" s="332"/>
      <c r="AU87" s="332"/>
      <c r="AV87" s="332"/>
      <c r="AW87" s="332"/>
      <c r="AX87" s="332"/>
      <c r="AY87" s="332"/>
      <c r="AZ87" s="332"/>
      <c r="BA87" s="332"/>
      <c r="BB87" s="347"/>
      <c r="BC87" s="347"/>
      <c r="BD87" s="347"/>
      <c r="BE87" s="347"/>
      <c r="BF87" s="347"/>
      <c r="BG87" s="348"/>
      <c r="BH87" s="11"/>
      <c r="BI87" s="11"/>
      <c r="BJ87" s="11"/>
      <c r="BK87" s="11"/>
      <c r="BL87" s="11"/>
      <c r="BM87" s="11"/>
      <c r="BN87" s="11"/>
      <c r="BO87" s="11"/>
      <c r="BP87" s="11"/>
      <c r="BQ87" s="11"/>
    </row>
    <row r="88" spans="1:69" ht="15.75" thickBot="1">
      <c r="A88" s="11"/>
      <c r="B88" s="349"/>
      <c r="C88" s="350"/>
      <c r="D88" s="11"/>
      <c r="E88" s="11"/>
      <c r="F88" s="11"/>
      <c r="G88" s="11"/>
      <c r="I88" s="350"/>
      <c r="J88" s="334">
        <f>B71</f>
        <v>5.4474708171206226E-2</v>
      </c>
      <c r="K88" s="334">
        <f>J88</f>
        <v>5.4474708171206226E-2</v>
      </c>
      <c r="L88" s="334">
        <f t="shared" ref="L88:BG88" si="161">K88</f>
        <v>5.4474708171206226E-2</v>
      </c>
      <c r="M88" s="334">
        <f t="shared" si="161"/>
        <v>5.4474708171206226E-2</v>
      </c>
      <c r="N88" s="334">
        <f t="shared" si="161"/>
        <v>5.4474708171206226E-2</v>
      </c>
      <c r="O88" s="334">
        <f t="shared" si="161"/>
        <v>5.4474708171206226E-2</v>
      </c>
      <c r="P88" s="334">
        <f t="shared" si="161"/>
        <v>5.4474708171206226E-2</v>
      </c>
      <c r="Q88" s="334">
        <f t="shared" si="161"/>
        <v>5.4474708171206226E-2</v>
      </c>
      <c r="R88" s="334">
        <f t="shared" si="161"/>
        <v>5.4474708171206226E-2</v>
      </c>
      <c r="S88" s="334">
        <f t="shared" si="161"/>
        <v>5.4474708171206226E-2</v>
      </c>
      <c r="T88" s="334">
        <f t="shared" si="161"/>
        <v>5.4474708171206226E-2</v>
      </c>
      <c r="U88" s="334">
        <f t="shared" si="161"/>
        <v>5.4474708171206226E-2</v>
      </c>
      <c r="V88" s="334">
        <f t="shared" si="161"/>
        <v>5.4474708171206226E-2</v>
      </c>
      <c r="W88" s="334">
        <f t="shared" si="161"/>
        <v>5.4474708171206226E-2</v>
      </c>
      <c r="X88" s="334">
        <f t="shared" si="161"/>
        <v>5.4474708171206226E-2</v>
      </c>
      <c r="Y88" s="334">
        <f t="shared" si="161"/>
        <v>5.4474708171206226E-2</v>
      </c>
      <c r="Z88" s="334">
        <f t="shared" si="161"/>
        <v>5.4474708171206226E-2</v>
      </c>
      <c r="AA88" s="334">
        <f t="shared" si="161"/>
        <v>5.4474708171206226E-2</v>
      </c>
      <c r="AB88" s="334">
        <f t="shared" si="161"/>
        <v>5.4474708171206226E-2</v>
      </c>
      <c r="AC88" s="334">
        <f t="shared" si="161"/>
        <v>5.4474708171206226E-2</v>
      </c>
      <c r="AD88" s="334">
        <f t="shared" si="161"/>
        <v>5.4474708171206226E-2</v>
      </c>
      <c r="AE88" s="334">
        <f t="shared" si="161"/>
        <v>5.4474708171206226E-2</v>
      </c>
      <c r="AF88" s="334">
        <f t="shared" si="161"/>
        <v>5.4474708171206226E-2</v>
      </c>
      <c r="AG88" s="334">
        <f t="shared" si="161"/>
        <v>5.4474708171206226E-2</v>
      </c>
      <c r="AH88" s="334">
        <f t="shared" si="161"/>
        <v>5.4474708171206226E-2</v>
      </c>
      <c r="AI88" s="334">
        <f t="shared" si="161"/>
        <v>5.4474708171206226E-2</v>
      </c>
      <c r="AJ88" s="334">
        <f t="shared" si="161"/>
        <v>5.4474708171206226E-2</v>
      </c>
      <c r="AK88" s="334">
        <f t="shared" si="161"/>
        <v>5.4474708171206226E-2</v>
      </c>
      <c r="AL88" s="334">
        <f t="shared" si="161"/>
        <v>5.4474708171206226E-2</v>
      </c>
      <c r="AM88" s="334">
        <f t="shared" si="161"/>
        <v>5.4474708171206226E-2</v>
      </c>
      <c r="AN88" s="334">
        <f t="shared" si="161"/>
        <v>5.4474708171206226E-2</v>
      </c>
      <c r="AO88" s="334">
        <f t="shared" si="161"/>
        <v>5.4474708171206226E-2</v>
      </c>
      <c r="AP88" s="334">
        <f t="shared" si="161"/>
        <v>5.4474708171206226E-2</v>
      </c>
      <c r="AQ88" s="334">
        <f t="shared" si="161"/>
        <v>5.4474708171206226E-2</v>
      </c>
      <c r="AR88" s="334">
        <f t="shared" si="161"/>
        <v>5.4474708171206226E-2</v>
      </c>
      <c r="AS88" s="334">
        <f t="shared" si="161"/>
        <v>5.4474708171206226E-2</v>
      </c>
      <c r="AT88" s="334">
        <f t="shared" si="161"/>
        <v>5.4474708171206226E-2</v>
      </c>
      <c r="AU88" s="334">
        <f t="shared" si="161"/>
        <v>5.4474708171206226E-2</v>
      </c>
      <c r="AV88" s="334">
        <f t="shared" si="161"/>
        <v>5.4474708171206226E-2</v>
      </c>
      <c r="AW88" s="334">
        <f t="shared" si="161"/>
        <v>5.4474708171206226E-2</v>
      </c>
      <c r="AX88" s="334">
        <f t="shared" si="161"/>
        <v>5.4474708171206226E-2</v>
      </c>
      <c r="AY88" s="334">
        <f t="shared" si="161"/>
        <v>5.4474708171206226E-2</v>
      </c>
      <c r="AZ88" s="334">
        <f t="shared" si="161"/>
        <v>5.4474708171206226E-2</v>
      </c>
      <c r="BA88" s="334">
        <f t="shared" si="161"/>
        <v>5.4474708171206226E-2</v>
      </c>
      <c r="BB88" s="334">
        <f t="shared" si="161"/>
        <v>5.4474708171206226E-2</v>
      </c>
      <c r="BC88" s="334">
        <f t="shared" si="161"/>
        <v>5.4474708171206226E-2</v>
      </c>
      <c r="BD88" s="334">
        <f t="shared" si="161"/>
        <v>5.4474708171206226E-2</v>
      </c>
      <c r="BE88" s="334">
        <f t="shared" si="161"/>
        <v>5.4474708171206226E-2</v>
      </c>
      <c r="BF88" s="334">
        <f t="shared" si="161"/>
        <v>5.4474708171206226E-2</v>
      </c>
      <c r="BG88" s="335">
        <f t="shared" si="161"/>
        <v>5.4474708171206226E-2</v>
      </c>
      <c r="BH88" s="11"/>
      <c r="BI88" s="11"/>
      <c r="BJ88" s="11"/>
      <c r="BK88" s="11"/>
      <c r="BL88" s="11"/>
      <c r="BM88" s="11"/>
      <c r="BN88" s="11"/>
      <c r="BO88" s="11"/>
      <c r="BP88" s="11"/>
      <c r="BQ88" s="11"/>
    </row>
    <row r="89" spans="1:69" ht="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</row>
    <row r="90" spans="1:69" ht="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</row>
    <row r="91" spans="1:69" ht="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</row>
    <row r="92" spans="1:69" ht="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</row>
    <row r="93" spans="1:69" ht="26.25">
      <c r="A93" s="247"/>
      <c r="B93" s="101" t="s">
        <v>257</v>
      </c>
      <c r="C93" s="101"/>
      <c r="D93" s="113"/>
      <c r="E93" s="113"/>
      <c r="F93" s="113"/>
      <c r="G93" s="113"/>
      <c r="H93" s="113"/>
      <c r="I93" s="113"/>
      <c r="J93" s="256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</row>
    <row r="94" spans="1:69" s="10" customFormat="1" ht="15">
      <c r="A94" s="105"/>
      <c r="B94" s="105"/>
      <c r="C94" s="105"/>
      <c r="D94" s="105"/>
      <c r="E94" s="105"/>
      <c r="F94" s="105"/>
      <c r="G94" s="105"/>
      <c r="H94" s="105"/>
      <c r="I94" s="105"/>
      <c r="J94" s="284">
        <v>2012</v>
      </c>
      <c r="K94" s="284">
        <f t="shared" ref="K94:R94" si="162">J94+1</f>
        <v>2013</v>
      </c>
      <c r="L94" s="284">
        <f t="shared" si="162"/>
        <v>2014</v>
      </c>
      <c r="M94" s="284">
        <f t="shared" si="162"/>
        <v>2015</v>
      </c>
      <c r="N94" s="105">
        <f t="shared" si="162"/>
        <v>2016</v>
      </c>
      <c r="O94" s="105">
        <f t="shared" si="162"/>
        <v>2017</v>
      </c>
      <c r="P94" s="105">
        <f t="shared" si="162"/>
        <v>2018</v>
      </c>
      <c r="Q94" s="105">
        <f t="shared" si="162"/>
        <v>2019</v>
      </c>
      <c r="R94" s="105">
        <f t="shared" si="162"/>
        <v>2020</v>
      </c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</row>
    <row r="95" spans="1:69" ht="15">
      <c r="A95" s="11"/>
      <c r="B95" t="s">
        <v>4</v>
      </c>
      <c r="C95" s="11"/>
      <c r="D95" s="249">
        <v>98</v>
      </c>
      <c r="E95" s="11"/>
      <c r="F95" s="11"/>
      <c r="G95" s="11"/>
      <c r="H95" s="11"/>
      <c r="I95" s="137"/>
      <c r="J95" s="140">
        <f>'Opening RAB'!C12</f>
        <v>19904740.073370151</v>
      </c>
      <c r="K95" s="140">
        <f>J98</f>
        <v>19639513.670818552</v>
      </c>
      <c r="L95" s="140">
        <f t="shared" ref="L95:AD95" si="163">K98</f>
        <v>20333265.962812483</v>
      </c>
      <c r="M95" s="140">
        <f t="shared" si="163"/>
        <v>19951631.770106524</v>
      </c>
      <c r="N95" s="140">
        <f t="shared" si="163"/>
        <v>19383657.393532965</v>
      </c>
      <c r="O95" s="140">
        <f t="shared" si="163"/>
        <v>15122290.932610318</v>
      </c>
      <c r="P95" s="140">
        <f t="shared" si="163"/>
        <v>11598706.04378677</v>
      </c>
      <c r="Q95" s="140">
        <f t="shared" si="163"/>
        <v>8722857.7133668736</v>
      </c>
      <c r="R95" s="140">
        <f t="shared" si="163"/>
        <v>6314477.1585576423</v>
      </c>
      <c r="S95" s="140">
        <f t="shared" si="163"/>
        <v>4220265.3509048177</v>
      </c>
      <c r="T95" s="140">
        <f t="shared" si="163"/>
        <v>2660142.0824816632</v>
      </c>
      <c r="U95" s="140">
        <f t="shared" si="163"/>
        <v>1683995.3999138228</v>
      </c>
      <c r="V95" s="140">
        <f t="shared" si="163"/>
        <v>1224219.4981933364</v>
      </c>
      <c r="W95" s="140">
        <f t="shared" si="163"/>
        <v>1005305.8311114537</v>
      </c>
      <c r="X95" s="140">
        <f t="shared" si="163"/>
        <v>774132.99867298559</v>
      </c>
      <c r="Y95" s="140">
        <f t="shared" si="163"/>
        <v>530014.48761796323</v>
      </c>
      <c r="Z95" s="140">
        <f t="shared" si="163"/>
        <v>272225.33994385961</v>
      </c>
      <c r="AA95" s="140">
        <f t="shared" si="163"/>
        <v>6.2282197177410126E-9</v>
      </c>
      <c r="AB95" s="140">
        <f t="shared" si="163"/>
        <v>6.2282197177410126E-9</v>
      </c>
      <c r="AC95" s="140">
        <f t="shared" si="163"/>
        <v>6.2282197177410126E-9</v>
      </c>
      <c r="AD95" s="140">
        <f t="shared" si="163"/>
        <v>6.2282197177410126E-9</v>
      </c>
      <c r="AE95" s="140">
        <f t="shared" ref="AE95" si="164">AD98</f>
        <v>6.2282197177410126E-9</v>
      </c>
      <c r="AF95" s="140">
        <f t="shared" ref="AF95" si="165">AE98</f>
        <v>6.2282197177410126E-9</v>
      </c>
      <c r="AG95" s="140">
        <f t="shared" ref="AG95" si="166">AF98</f>
        <v>6.2282197177410126E-9</v>
      </c>
      <c r="AH95" s="140">
        <f t="shared" ref="AH95" si="167">AG98</f>
        <v>6.2282197177410126E-9</v>
      </c>
      <c r="AI95" s="140">
        <f t="shared" ref="AI95" si="168">AH98</f>
        <v>6.2282197177410126E-9</v>
      </c>
      <c r="AJ95" s="140">
        <f t="shared" ref="AJ95" si="169">AI98</f>
        <v>6.2282197177410126E-9</v>
      </c>
      <c r="AK95" s="140">
        <f t="shared" ref="AK95" si="170">AJ98</f>
        <v>6.2282197177410126E-9</v>
      </c>
      <c r="AL95" s="140">
        <f t="shared" ref="AL95" si="171">AK98</f>
        <v>6.2282197177410126E-9</v>
      </c>
      <c r="AM95" s="140">
        <f t="shared" ref="AM95" si="172">AL98</f>
        <v>6.2282197177410126E-9</v>
      </c>
      <c r="AN95" s="140">
        <f t="shared" ref="AN95" si="173">AM98</f>
        <v>6.2282197177410126E-9</v>
      </c>
      <c r="AO95" s="140">
        <f t="shared" ref="AO95" si="174">AN98</f>
        <v>6.2282197177410126E-9</v>
      </c>
      <c r="AP95" s="140">
        <f t="shared" ref="AP95" si="175">AO98</f>
        <v>6.2282197177410126E-9</v>
      </c>
      <c r="AQ95" s="140">
        <f t="shared" ref="AQ95" si="176">AP98</f>
        <v>6.2282197177410126E-9</v>
      </c>
      <c r="AR95" s="140">
        <f t="shared" ref="AR95" si="177">AQ98</f>
        <v>6.2282197177410126E-9</v>
      </c>
      <c r="AS95" s="140">
        <f t="shared" ref="AS95" si="178">AR98</f>
        <v>6.2282197177410126E-9</v>
      </c>
      <c r="AT95" s="140">
        <f t="shared" ref="AT95" si="179">AS98</f>
        <v>6.2282197177410126E-9</v>
      </c>
      <c r="AU95" s="140">
        <f t="shared" ref="AU95" si="180">AT98</f>
        <v>6.2282197177410126E-9</v>
      </c>
      <c r="AV95" s="140">
        <f t="shared" ref="AV95" si="181">AU98</f>
        <v>6.2282197177410126E-9</v>
      </c>
      <c r="AW95" s="140">
        <f t="shared" ref="AW95" si="182">AV98</f>
        <v>6.2282197177410126E-9</v>
      </c>
      <c r="AX95" s="140">
        <f t="shared" ref="AX95" si="183">AW98</f>
        <v>6.2282197177410126E-9</v>
      </c>
      <c r="AY95" s="140">
        <f t="shared" ref="AY95" si="184">AX98</f>
        <v>6.2282197177410126E-9</v>
      </c>
      <c r="AZ95" s="140">
        <f t="shared" ref="AZ95" si="185">AY98</f>
        <v>6.2282197177410126E-9</v>
      </c>
      <c r="BA95" s="140">
        <f t="shared" ref="BA95" si="186">AZ98</f>
        <v>6.2282197177410126E-9</v>
      </c>
      <c r="BB95" s="140">
        <f t="shared" ref="BB95" si="187">BA98</f>
        <v>6.2282197177410126E-9</v>
      </c>
      <c r="BC95" s="140">
        <f t="shared" ref="BC95" si="188">BB98</f>
        <v>6.2282197177410126E-9</v>
      </c>
      <c r="BD95" s="140">
        <f t="shared" ref="BD95" si="189">BC98</f>
        <v>6.2282197177410126E-9</v>
      </c>
      <c r="BE95" s="140">
        <f t="shared" ref="BE95" si="190">BD98</f>
        <v>6.2282197177410126E-9</v>
      </c>
      <c r="BF95" s="140">
        <f t="shared" ref="BF95" si="191">BE98</f>
        <v>6.2282197177410126E-9</v>
      </c>
      <c r="BG95" s="140">
        <f t="shared" ref="BG95" si="192">BF98</f>
        <v>6.2282197177410126E-9</v>
      </c>
    </row>
    <row r="96" spans="1:69" ht="15">
      <c r="A96" s="11"/>
      <c r="B96" t="s">
        <v>255</v>
      </c>
      <c r="C96" s="11"/>
      <c r="D96" s="249">
        <v>101.7</v>
      </c>
      <c r="E96" s="11"/>
      <c r="F96" s="11"/>
      <c r="G96" s="11"/>
      <c r="H96" s="138"/>
      <c r="I96" s="11"/>
      <c r="J96" s="140">
        <f t="shared" ref="J96:AD96" si="193">J34</f>
        <v>3886835.995657823</v>
      </c>
      <c r="K96" s="140">
        <f t="shared" si="193"/>
        <v>5394458.9777284982</v>
      </c>
      <c r="L96" s="140">
        <f t="shared" si="193"/>
        <v>4777059.3854398709</v>
      </c>
      <c r="M96" s="140">
        <f t="shared" si="193"/>
        <v>4443217.6284885686</v>
      </c>
      <c r="N96" s="140">
        <f t="shared" si="193"/>
        <v>0</v>
      </c>
      <c r="O96" s="140">
        <f t="shared" si="193"/>
        <v>0</v>
      </c>
      <c r="P96" s="140">
        <f t="shared" si="193"/>
        <v>0</v>
      </c>
      <c r="Q96" s="140">
        <f t="shared" si="193"/>
        <v>0</v>
      </c>
      <c r="R96" s="140">
        <f t="shared" si="193"/>
        <v>0</v>
      </c>
      <c r="S96" s="140">
        <f t="shared" si="193"/>
        <v>0</v>
      </c>
      <c r="T96" s="140">
        <f t="shared" si="193"/>
        <v>0</v>
      </c>
      <c r="U96" s="140">
        <f t="shared" si="193"/>
        <v>0</v>
      </c>
      <c r="V96" s="140">
        <f t="shared" si="193"/>
        <v>0</v>
      </c>
      <c r="W96" s="140">
        <f t="shared" si="193"/>
        <v>0</v>
      </c>
      <c r="X96" s="140">
        <f t="shared" si="193"/>
        <v>0</v>
      </c>
      <c r="Y96" s="140">
        <f t="shared" si="193"/>
        <v>0</v>
      </c>
      <c r="Z96" s="140">
        <f t="shared" si="193"/>
        <v>0</v>
      </c>
      <c r="AA96" s="140">
        <f t="shared" si="193"/>
        <v>0</v>
      </c>
      <c r="AB96" s="140">
        <f t="shared" si="193"/>
        <v>0</v>
      </c>
      <c r="AC96" s="140">
        <f t="shared" si="193"/>
        <v>0</v>
      </c>
      <c r="AD96" s="140">
        <f t="shared" si="193"/>
        <v>0</v>
      </c>
      <c r="AE96" s="140">
        <f t="shared" ref="AE96:BG96" si="194">AE34</f>
        <v>0</v>
      </c>
      <c r="AF96" s="140">
        <f t="shared" si="194"/>
        <v>0</v>
      </c>
      <c r="AG96" s="140">
        <f t="shared" si="194"/>
        <v>0</v>
      </c>
      <c r="AH96" s="140">
        <f t="shared" si="194"/>
        <v>0</v>
      </c>
      <c r="AI96" s="140">
        <f t="shared" si="194"/>
        <v>0</v>
      </c>
      <c r="AJ96" s="140">
        <f t="shared" si="194"/>
        <v>0</v>
      </c>
      <c r="AK96" s="140">
        <f t="shared" si="194"/>
        <v>0</v>
      </c>
      <c r="AL96" s="140">
        <f t="shared" si="194"/>
        <v>0</v>
      </c>
      <c r="AM96" s="140">
        <f t="shared" si="194"/>
        <v>0</v>
      </c>
      <c r="AN96" s="140">
        <f t="shared" si="194"/>
        <v>0</v>
      </c>
      <c r="AO96" s="140">
        <f t="shared" si="194"/>
        <v>0</v>
      </c>
      <c r="AP96" s="140">
        <f t="shared" si="194"/>
        <v>0</v>
      </c>
      <c r="AQ96" s="140">
        <f t="shared" si="194"/>
        <v>0</v>
      </c>
      <c r="AR96" s="140">
        <f t="shared" si="194"/>
        <v>0</v>
      </c>
      <c r="AS96" s="140">
        <f t="shared" si="194"/>
        <v>0</v>
      </c>
      <c r="AT96" s="140">
        <f t="shared" si="194"/>
        <v>0</v>
      </c>
      <c r="AU96" s="140">
        <f t="shared" si="194"/>
        <v>0</v>
      </c>
      <c r="AV96" s="140">
        <f t="shared" si="194"/>
        <v>0</v>
      </c>
      <c r="AW96" s="140">
        <f t="shared" si="194"/>
        <v>0</v>
      </c>
      <c r="AX96" s="140">
        <f t="shared" si="194"/>
        <v>0</v>
      </c>
      <c r="AY96" s="140">
        <f t="shared" si="194"/>
        <v>0</v>
      </c>
      <c r="AZ96" s="140">
        <f t="shared" si="194"/>
        <v>0</v>
      </c>
      <c r="BA96" s="140">
        <f t="shared" si="194"/>
        <v>0</v>
      </c>
      <c r="BB96" s="140">
        <f t="shared" si="194"/>
        <v>0</v>
      </c>
      <c r="BC96" s="140">
        <f t="shared" si="194"/>
        <v>0</v>
      </c>
      <c r="BD96" s="140">
        <f t="shared" si="194"/>
        <v>0</v>
      </c>
      <c r="BE96" s="140">
        <f t="shared" si="194"/>
        <v>0</v>
      </c>
      <c r="BF96" s="140">
        <f t="shared" si="194"/>
        <v>0</v>
      </c>
      <c r="BG96" s="140">
        <f t="shared" si="194"/>
        <v>0</v>
      </c>
    </row>
    <row r="97" spans="1:67" ht="15">
      <c r="A97" s="11"/>
      <c r="B97" t="s">
        <v>31</v>
      </c>
      <c r="C97" s="11"/>
      <c r="D97" s="11"/>
      <c r="E97" s="11"/>
      <c r="F97" s="11"/>
      <c r="G97" s="11"/>
      <c r="H97" s="11"/>
      <c r="I97" s="11"/>
      <c r="J97" s="140">
        <f t="shared" ref="J97:AD97" si="195">J58</f>
        <v>-4152062.398209421</v>
      </c>
      <c r="K97" s="140">
        <f t="shared" si="195"/>
        <v>-4700706.6857345663</v>
      </c>
      <c r="L97" s="140">
        <f t="shared" si="195"/>
        <v>-5158693.5781458309</v>
      </c>
      <c r="M97" s="140">
        <f t="shared" si="195"/>
        <v>-5011192.0050621303</v>
      </c>
      <c r="N97" s="140">
        <f t="shared" si="195"/>
        <v>-4261366.4609226463</v>
      </c>
      <c r="O97" s="140">
        <f t="shared" si="195"/>
        <v>-3523584.8888235488</v>
      </c>
      <c r="P97" s="140">
        <f t="shared" si="195"/>
        <v>-2875848.3304198962</v>
      </c>
      <c r="Q97" s="140">
        <f t="shared" si="195"/>
        <v>-2408380.5548092313</v>
      </c>
      <c r="R97" s="140">
        <f t="shared" si="195"/>
        <v>-2094211.8076528248</v>
      </c>
      <c r="S97" s="140">
        <f t="shared" si="195"/>
        <v>-1560123.2684231545</v>
      </c>
      <c r="T97" s="140">
        <f t="shared" si="195"/>
        <v>-976146.68256784056</v>
      </c>
      <c r="U97" s="140">
        <f t="shared" si="195"/>
        <v>-459775.90172048635</v>
      </c>
      <c r="V97" s="140">
        <f t="shared" si="195"/>
        <v>-218913.66708188271</v>
      </c>
      <c r="W97" s="140">
        <f t="shared" si="195"/>
        <v>-231172.83243846812</v>
      </c>
      <c r="X97" s="140">
        <f t="shared" si="195"/>
        <v>-244118.51105502233</v>
      </c>
      <c r="Y97" s="140">
        <f t="shared" si="195"/>
        <v>-257789.14767410359</v>
      </c>
      <c r="Z97" s="140">
        <f t="shared" si="195"/>
        <v>-272225.33994385338</v>
      </c>
      <c r="AA97" s="140">
        <f t="shared" si="195"/>
        <v>0</v>
      </c>
      <c r="AB97" s="140">
        <f t="shared" si="195"/>
        <v>0</v>
      </c>
      <c r="AC97" s="140">
        <f t="shared" si="195"/>
        <v>0</v>
      </c>
      <c r="AD97" s="140">
        <f t="shared" si="195"/>
        <v>0</v>
      </c>
      <c r="AE97" s="140">
        <f t="shared" ref="AE97:BG97" si="196">AE58</f>
        <v>0</v>
      </c>
      <c r="AF97" s="140">
        <f t="shared" si="196"/>
        <v>0</v>
      </c>
      <c r="AG97" s="140">
        <f t="shared" si="196"/>
        <v>0</v>
      </c>
      <c r="AH97" s="140">
        <f t="shared" si="196"/>
        <v>0</v>
      </c>
      <c r="AI97" s="140">
        <f t="shared" si="196"/>
        <v>0</v>
      </c>
      <c r="AJ97" s="140">
        <f t="shared" si="196"/>
        <v>0</v>
      </c>
      <c r="AK97" s="140">
        <f t="shared" si="196"/>
        <v>0</v>
      </c>
      <c r="AL97" s="140">
        <f t="shared" si="196"/>
        <v>0</v>
      </c>
      <c r="AM97" s="140">
        <f t="shared" si="196"/>
        <v>0</v>
      </c>
      <c r="AN97" s="140">
        <f t="shared" si="196"/>
        <v>0</v>
      </c>
      <c r="AO97" s="140">
        <f t="shared" si="196"/>
        <v>0</v>
      </c>
      <c r="AP97" s="140">
        <f t="shared" si="196"/>
        <v>0</v>
      </c>
      <c r="AQ97" s="140">
        <f t="shared" si="196"/>
        <v>0</v>
      </c>
      <c r="AR97" s="140">
        <f t="shared" si="196"/>
        <v>0</v>
      </c>
      <c r="AS97" s="140">
        <f t="shared" si="196"/>
        <v>0</v>
      </c>
      <c r="AT97" s="140">
        <f t="shared" si="196"/>
        <v>0</v>
      </c>
      <c r="AU97" s="140">
        <f t="shared" si="196"/>
        <v>0</v>
      </c>
      <c r="AV97" s="140">
        <f t="shared" si="196"/>
        <v>0</v>
      </c>
      <c r="AW97" s="140">
        <f t="shared" si="196"/>
        <v>0</v>
      </c>
      <c r="AX97" s="140">
        <f t="shared" si="196"/>
        <v>0</v>
      </c>
      <c r="AY97" s="140">
        <f t="shared" si="196"/>
        <v>0</v>
      </c>
      <c r="AZ97" s="140">
        <f t="shared" si="196"/>
        <v>0</v>
      </c>
      <c r="BA97" s="140">
        <f t="shared" si="196"/>
        <v>0</v>
      </c>
      <c r="BB97" s="140">
        <f t="shared" si="196"/>
        <v>0</v>
      </c>
      <c r="BC97" s="140">
        <f t="shared" si="196"/>
        <v>0</v>
      </c>
      <c r="BD97" s="140">
        <f t="shared" si="196"/>
        <v>0</v>
      </c>
      <c r="BE97" s="140">
        <f t="shared" si="196"/>
        <v>0</v>
      </c>
      <c r="BF97" s="140">
        <f t="shared" si="196"/>
        <v>0</v>
      </c>
      <c r="BG97" s="140">
        <f t="shared" si="196"/>
        <v>0</v>
      </c>
    </row>
    <row r="98" spans="1:67" ht="15">
      <c r="A98" s="336">
        <f>BG98</f>
        <v>6.2282197177410126E-9</v>
      </c>
      <c r="B98" t="s">
        <v>1</v>
      </c>
      <c r="C98" s="11"/>
      <c r="D98" s="11"/>
      <c r="E98" s="11"/>
      <c r="F98" s="11"/>
      <c r="G98" s="11"/>
      <c r="H98" s="11"/>
      <c r="I98" s="11"/>
      <c r="J98" s="140">
        <f>J95+J96+J97</f>
        <v>19639513.670818552</v>
      </c>
      <c r="K98" s="140">
        <f>K95+K96+K97</f>
        <v>20333265.962812483</v>
      </c>
      <c r="L98" s="140">
        <f t="shared" ref="L98:AD98" si="197">L95+L96+L97</f>
        <v>19951631.770106524</v>
      </c>
      <c r="M98" s="140">
        <f t="shared" si="197"/>
        <v>19383657.393532965</v>
      </c>
      <c r="N98" s="140">
        <f t="shared" si="197"/>
        <v>15122290.932610318</v>
      </c>
      <c r="O98" s="140">
        <f t="shared" si="197"/>
        <v>11598706.04378677</v>
      </c>
      <c r="P98" s="140">
        <f t="shared" si="197"/>
        <v>8722857.7133668736</v>
      </c>
      <c r="Q98" s="140">
        <f t="shared" si="197"/>
        <v>6314477.1585576423</v>
      </c>
      <c r="R98" s="140">
        <f t="shared" si="197"/>
        <v>4220265.3509048177</v>
      </c>
      <c r="S98" s="140">
        <f t="shared" si="197"/>
        <v>2660142.0824816632</v>
      </c>
      <c r="T98" s="140">
        <f t="shared" si="197"/>
        <v>1683995.3999138228</v>
      </c>
      <c r="U98" s="140">
        <f t="shared" si="197"/>
        <v>1224219.4981933364</v>
      </c>
      <c r="V98" s="140">
        <f t="shared" si="197"/>
        <v>1005305.8311114537</v>
      </c>
      <c r="W98" s="140">
        <f t="shared" si="197"/>
        <v>774132.99867298559</v>
      </c>
      <c r="X98" s="140">
        <f t="shared" si="197"/>
        <v>530014.48761796323</v>
      </c>
      <c r="Y98" s="140">
        <f t="shared" si="197"/>
        <v>272225.33994385961</v>
      </c>
      <c r="Z98" s="140">
        <f t="shared" si="197"/>
        <v>6.2282197177410126E-9</v>
      </c>
      <c r="AA98" s="140">
        <f t="shared" si="197"/>
        <v>6.2282197177410126E-9</v>
      </c>
      <c r="AB98" s="140">
        <f t="shared" si="197"/>
        <v>6.2282197177410126E-9</v>
      </c>
      <c r="AC98" s="140">
        <f t="shared" si="197"/>
        <v>6.2282197177410126E-9</v>
      </c>
      <c r="AD98" s="140">
        <f t="shared" si="197"/>
        <v>6.2282197177410126E-9</v>
      </c>
      <c r="AE98" s="140">
        <f t="shared" ref="AE98:BG98" si="198">AE95+AE96+AE97</f>
        <v>6.2282197177410126E-9</v>
      </c>
      <c r="AF98" s="140">
        <f t="shared" si="198"/>
        <v>6.2282197177410126E-9</v>
      </c>
      <c r="AG98" s="140">
        <f t="shared" si="198"/>
        <v>6.2282197177410126E-9</v>
      </c>
      <c r="AH98" s="140">
        <f t="shared" si="198"/>
        <v>6.2282197177410126E-9</v>
      </c>
      <c r="AI98" s="140">
        <f t="shared" si="198"/>
        <v>6.2282197177410126E-9</v>
      </c>
      <c r="AJ98" s="140">
        <f t="shared" si="198"/>
        <v>6.2282197177410126E-9</v>
      </c>
      <c r="AK98" s="140">
        <f t="shared" si="198"/>
        <v>6.2282197177410126E-9</v>
      </c>
      <c r="AL98" s="140">
        <f t="shared" si="198"/>
        <v>6.2282197177410126E-9</v>
      </c>
      <c r="AM98" s="140">
        <f t="shared" si="198"/>
        <v>6.2282197177410126E-9</v>
      </c>
      <c r="AN98" s="140">
        <f t="shared" si="198"/>
        <v>6.2282197177410126E-9</v>
      </c>
      <c r="AO98" s="140">
        <f t="shared" si="198"/>
        <v>6.2282197177410126E-9</v>
      </c>
      <c r="AP98" s="140">
        <f t="shared" si="198"/>
        <v>6.2282197177410126E-9</v>
      </c>
      <c r="AQ98" s="140">
        <f t="shared" si="198"/>
        <v>6.2282197177410126E-9</v>
      </c>
      <c r="AR98" s="140">
        <f t="shared" si="198"/>
        <v>6.2282197177410126E-9</v>
      </c>
      <c r="AS98" s="140">
        <f t="shared" si="198"/>
        <v>6.2282197177410126E-9</v>
      </c>
      <c r="AT98" s="140">
        <f t="shared" si="198"/>
        <v>6.2282197177410126E-9</v>
      </c>
      <c r="AU98" s="140">
        <f t="shared" si="198"/>
        <v>6.2282197177410126E-9</v>
      </c>
      <c r="AV98" s="140">
        <f t="shared" si="198"/>
        <v>6.2282197177410126E-9</v>
      </c>
      <c r="AW98" s="140">
        <f t="shared" si="198"/>
        <v>6.2282197177410126E-9</v>
      </c>
      <c r="AX98" s="140">
        <f t="shared" si="198"/>
        <v>6.2282197177410126E-9</v>
      </c>
      <c r="AY98" s="140">
        <f t="shared" si="198"/>
        <v>6.2282197177410126E-9</v>
      </c>
      <c r="AZ98" s="140">
        <f t="shared" si="198"/>
        <v>6.2282197177410126E-9</v>
      </c>
      <c r="BA98" s="140">
        <f t="shared" si="198"/>
        <v>6.2282197177410126E-9</v>
      </c>
      <c r="BB98" s="140">
        <f t="shared" si="198"/>
        <v>6.2282197177410126E-9</v>
      </c>
      <c r="BC98" s="140">
        <f t="shared" si="198"/>
        <v>6.2282197177410126E-9</v>
      </c>
      <c r="BD98" s="140">
        <f t="shared" si="198"/>
        <v>6.2282197177410126E-9</v>
      </c>
      <c r="BE98" s="140">
        <f t="shared" si="198"/>
        <v>6.2282197177410126E-9</v>
      </c>
      <c r="BF98" s="140">
        <f t="shared" si="198"/>
        <v>6.2282197177410126E-9</v>
      </c>
      <c r="BG98" s="140">
        <f t="shared" si="198"/>
        <v>6.2282197177410126E-9</v>
      </c>
    </row>
    <row r="99" spans="1:67" ht="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</row>
    <row r="100" spans="1:67" ht="15">
      <c r="A100" s="11"/>
      <c r="B100" t="s">
        <v>42</v>
      </c>
      <c r="E100" s="140">
        <f>(E98+E95)/2</f>
        <v>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</row>
    <row r="101" spans="1:67" ht="15">
      <c r="A101" s="11"/>
      <c r="B101" t="s">
        <v>41</v>
      </c>
      <c r="E101" s="140">
        <f>E100*C105</f>
        <v>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</row>
    <row r="102" spans="1:67" ht="15">
      <c r="B102" s="11" t="s">
        <v>248</v>
      </c>
      <c r="C102" s="11"/>
      <c r="D102" s="11"/>
      <c r="E102" s="140">
        <f>E101+E97</f>
        <v>0</v>
      </c>
    </row>
    <row r="103" spans="1:67" ht="15">
      <c r="B103" s="11"/>
      <c r="C103" s="11"/>
      <c r="D103" s="11"/>
      <c r="E103" s="11"/>
    </row>
    <row r="104" spans="1:67" ht="15">
      <c r="B104" s="145" t="s">
        <v>85</v>
      </c>
      <c r="C104" s="365">
        <f>Summary!C13</f>
        <v>5.6000000000000001E-2</v>
      </c>
      <c r="D104" s="293">
        <v>6.2E-2</v>
      </c>
      <c r="E104" s="11"/>
    </row>
    <row r="105" spans="1:67" ht="15">
      <c r="B105" s="145" t="s">
        <v>129</v>
      </c>
      <c r="C105" s="2">
        <f>C104/(1+C104/2)</f>
        <v>5.4474708171206226E-2</v>
      </c>
      <c r="D105" s="2">
        <f>D104/(1+D104/2)</f>
        <v>6.013579049466538E-2</v>
      </c>
      <c r="E105" s="11"/>
    </row>
  </sheetData>
  <mergeCells count="1">
    <mergeCell ref="Y38:AB38"/>
  </mergeCells>
  <pageMargins left="0.70866141732283472" right="0.70866141732283472" top="0.74803149606299213" bottom="0.74803149606299213" header="0.31496062992125984" footer="0.31496062992125984"/>
  <pageSetup paperSize="9" scale="40" fitToWidth="2" fitToHeight="2" orientation="landscape" r:id="rId1"/>
  <ignoredErrors>
    <ignoredError sqref="J48:V4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zoomScaleNormal="100" workbookViewId="0">
      <selection activeCell="H12" sqref="H12"/>
    </sheetView>
  </sheetViews>
  <sheetFormatPr defaultRowHeight="15"/>
  <cols>
    <col min="1" max="1" width="9" style="20"/>
    <col min="2" max="2" width="63" style="20" bestFit="1" customWidth="1"/>
    <col min="3" max="6" width="9" style="20"/>
    <col min="7" max="7" width="8.875" style="20" bestFit="1" customWidth="1"/>
    <col min="8" max="8" width="9" style="20"/>
    <col min="9" max="9" width="11.875" style="20" bestFit="1" customWidth="1"/>
    <col min="10" max="16384" width="9" style="20"/>
  </cols>
  <sheetData>
    <row r="1" spans="1:11" ht="26.25">
      <c r="A1" s="67"/>
      <c r="B1" s="57" t="s">
        <v>107</v>
      </c>
      <c r="C1" s="57" t="s">
        <v>47</v>
      </c>
      <c r="D1" s="56"/>
      <c r="E1" s="56"/>
      <c r="F1" s="56"/>
      <c r="G1" s="56"/>
      <c r="H1" s="55"/>
      <c r="I1" s="55"/>
      <c r="J1" s="55"/>
      <c r="K1" s="55"/>
    </row>
    <row r="2" spans="1:11" ht="15.75" thickBot="1"/>
    <row r="3" spans="1:11">
      <c r="B3" s="404" t="s">
        <v>106</v>
      </c>
      <c r="C3" s="66" t="s">
        <v>48</v>
      </c>
      <c r="D3" s="66" t="s">
        <v>48</v>
      </c>
      <c r="E3" s="66" t="s">
        <v>48</v>
      </c>
      <c r="F3" s="66" t="s">
        <v>48</v>
      </c>
      <c r="G3" s="65" t="s">
        <v>105</v>
      </c>
      <c r="H3" s="62"/>
      <c r="I3" s="62"/>
      <c r="J3" s="62"/>
      <c r="K3" s="62"/>
    </row>
    <row r="4" spans="1:11" ht="15.75" thickBot="1">
      <c r="B4" s="405"/>
      <c r="C4" s="64">
        <v>2007</v>
      </c>
      <c r="D4" s="64">
        <v>2008</v>
      </c>
      <c r="E4" s="64">
        <v>2009</v>
      </c>
      <c r="F4" s="64">
        <v>2010</v>
      </c>
      <c r="G4" s="63">
        <v>2011</v>
      </c>
      <c r="H4" s="62"/>
      <c r="I4" s="62"/>
      <c r="J4" s="62"/>
      <c r="K4" s="62"/>
    </row>
    <row r="5" spans="1:11" ht="15.75" thickBot="1">
      <c r="B5" s="61" t="s">
        <v>104</v>
      </c>
      <c r="C5" s="185">
        <v>9568</v>
      </c>
      <c r="D5" s="185">
        <v>9922</v>
      </c>
      <c r="E5" s="185">
        <v>10309</v>
      </c>
      <c r="F5" s="185">
        <v>10732</v>
      </c>
      <c r="G5" s="186">
        <v>11161</v>
      </c>
      <c r="H5" s="54"/>
      <c r="I5" s="54"/>
      <c r="J5" s="54"/>
      <c r="K5" s="54"/>
    </row>
    <row r="6" spans="1:11" ht="15.75" thickBot="1">
      <c r="B6" s="60" t="s">
        <v>103</v>
      </c>
      <c r="C6" s="185">
        <v>9905</v>
      </c>
      <c r="D6" s="185">
        <v>9937</v>
      </c>
      <c r="E6" s="185">
        <v>8420</v>
      </c>
      <c r="F6" s="185">
        <v>7222</v>
      </c>
      <c r="G6" s="186">
        <v>7367</v>
      </c>
      <c r="H6" s="54"/>
      <c r="I6" s="54"/>
      <c r="J6" s="54"/>
      <c r="K6" s="54"/>
    </row>
    <row r="7" spans="1:11" ht="15.75" thickBot="1">
      <c r="B7" s="59" t="s">
        <v>102</v>
      </c>
      <c r="C7" s="187">
        <v>188123</v>
      </c>
      <c r="D7" s="187">
        <v>188689</v>
      </c>
      <c r="E7" s="187">
        <v>159807</v>
      </c>
      <c r="F7" s="187">
        <v>137483</v>
      </c>
      <c r="G7" s="188">
        <v>139900</v>
      </c>
      <c r="H7" s="58"/>
      <c r="I7" s="58"/>
      <c r="J7" s="58"/>
      <c r="K7" s="58"/>
    </row>
    <row r="9" spans="1:11" ht="26.25">
      <c r="A9" s="55"/>
      <c r="B9" s="57" t="s">
        <v>101</v>
      </c>
      <c r="C9" s="57" t="s">
        <v>88</v>
      </c>
      <c r="D9" s="56"/>
      <c r="E9" s="56"/>
      <c r="F9" s="56"/>
      <c r="G9" s="55"/>
      <c r="H9" s="55"/>
      <c r="I9" s="55"/>
      <c r="J9" s="55"/>
      <c r="K9" s="55"/>
    </row>
    <row r="10" spans="1:11" ht="15.75" thickBot="1">
      <c r="F10" s="54"/>
    </row>
    <row r="11" spans="1:11" ht="15.75" thickTop="1">
      <c r="A11" s="406"/>
      <c r="B11" s="407" t="s">
        <v>99</v>
      </c>
      <c r="C11" s="409" t="s">
        <v>48</v>
      </c>
      <c r="D11" s="410"/>
      <c r="E11" s="411"/>
      <c r="F11" s="43" t="s">
        <v>48</v>
      </c>
      <c r="G11" s="43"/>
    </row>
    <row r="12" spans="1:11" ht="24.75" thickBot="1">
      <c r="A12" s="406"/>
      <c r="B12" s="408"/>
      <c r="C12" s="53"/>
      <c r="D12" s="52"/>
      <c r="E12" s="51"/>
      <c r="F12" s="42" t="s">
        <v>100</v>
      </c>
      <c r="G12" s="42" t="s">
        <v>18</v>
      </c>
    </row>
    <row r="13" spans="1:11" ht="16.5" thickTop="1" thickBot="1">
      <c r="A13" s="41"/>
      <c r="B13" s="50"/>
      <c r="C13" s="49">
        <v>2007</v>
      </c>
      <c r="D13" s="48">
        <v>2008</v>
      </c>
      <c r="E13" s="36">
        <v>2009</v>
      </c>
      <c r="F13" s="36">
        <v>2010</v>
      </c>
      <c r="G13" s="35">
        <v>2011</v>
      </c>
      <c r="H13" s="47"/>
      <c r="I13" s="47"/>
      <c r="J13" s="47"/>
      <c r="K13" s="47"/>
    </row>
    <row r="14" spans="1:11" ht="15.75" thickTop="1">
      <c r="A14" s="26"/>
      <c r="B14" s="27" t="s">
        <v>50</v>
      </c>
      <c r="C14" s="46"/>
      <c r="D14" s="45"/>
      <c r="E14" s="44"/>
      <c r="F14" s="32"/>
      <c r="G14" s="31"/>
    </row>
    <row r="15" spans="1:11">
      <c r="A15" s="25" t="s">
        <v>51</v>
      </c>
      <c r="B15" s="30" t="s">
        <v>52</v>
      </c>
      <c r="C15" s="189">
        <v>6718</v>
      </c>
      <c r="D15" s="190">
        <v>7241</v>
      </c>
      <c r="E15" s="191">
        <v>7622</v>
      </c>
      <c r="F15" s="192">
        <v>7034</v>
      </c>
      <c r="G15" s="193">
        <v>7784</v>
      </c>
    </row>
    <row r="16" spans="1:11">
      <c r="A16" s="25" t="s">
        <v>53</v>
      </c>
      <c r="B16" s="30" t="s">
        <v>54</v>
      </c>
      <c r="C16" s="189">
        <v>2700</v>
      </c>
      <c r="D16" s="190">
        <v>2890</v>
      </c>
      <c r="E16" s="191">
        <v>1908</v>
      </c>
      <c r="F16" s="192">
        <v>3005</v>
      </c>
      <c r="G16" s="193">
        <v>2764</v>
      </c>
    </row>
    <row r="17" spans="1:7">
      <c r="A17" s="28" t="s">
        <v>55</v>
      </c>
      <c r="B17" s="27" t="s">
        <v>56</v>
      </c>
      <c r="C17" s="194">
        <f>SUM(C15:C16)</f>
        <v>9418</v>
      </c>
      <c r="D17" s="190">
        <f>SUM(D15:D16)</f>
        <v>10131</v>
      </c>
      <c r="E17" s="195">
        <f>SUM(E15:E16)</f>
        <v>9530</v>
      </c>
      <c r="F17" s="192">
        <f>SUM(F15:F16)</f>
        <v>10039</v>
      </c>
      <c r="G17" s="193">
        <f>SUM(G15:G16)</f>
        <v>10548</v>
      </c>
    </row>
    <row r="18" spans="1:7">
      <c r="A18" s="26"/>
      <c r="B18" s="27" t="s">
        <v>57</v>
      </c>
      <c r="C18" s="196"/>
      <c r="D18" s="197"/>
      <c r="E18" s="195"/>
      <c r="F18" s="198"/>
      <c r="G18" s="193"/>
    </row>
    <row r="19" spans="1:7">
      <c r="A19" s="25" t="s">
        <v>58</v>
      </c>
      <c r="B19" s="29" t="s">
        <v>10</v>
      </c>
      <c r="C19" s="189">
        <v>1386</v>
      </c>
      <c r="D19" s="190">
        <v>1818</v>
      </c>
      <c r="E19" s="195">
        <v>842</v>
      </c>
      <c r="F19" s="192">
        <v>947</v>
      </c>
      <c r="G19" s="193">
        <v>1191</v>
      </c>
    </row>
    <row r="20" spans="1:7">
      <c r="A20" s="25" t="s">
        <v>59</v>
      </c>
      <c r="B20" s="29" t="s">
        <v>60</v>
      </c>
      <c r="C20" s="189">
        <v>208</v>
      </c>
      <c r="D20" s="190">
        <v>254</v>
      </c>
      <c r="E20" s="195">
        <v>215</v>
      </c>
      <c r="F20" s="192">
        <v>220</v>
      </c>
      <c r="G20" s="193">
        <v>202</v>
      </c>
    </row>
    <row r="21" spans="1:7">
      <c r="A21" s="25" t="s">
        <v>61</v>
      </c>
      <c r="B21" s="29" t="s">
        <v>16</v>
      </c>
      <c r="C21" s="189">
        <v>2033</v>
      </c>
      <c r="D21" s="190">
        <v>2887</v>
      </c>
      <c r="E21" s="195">
        <v>5741</v>
      </c>
      <c r="F21" s="192">
        <v>3906</v>
      </c>
      <c r="G21" s="193">
        <v>2076</v>
      </c>
    </row>
    <row r="22" spans="1:7">
      <c r="A22" s="25" t="s">
        <v>62</v>
      </c>
      <c r="B22" s="29" t="s">
        <v>15</v>
      </c>
      <c r="C22" s="189">
        <v>0</v>
      </c>
      <c r="D22" s="190">
        <v>0</v>
      </c>
      <c r="E22" s="195">
        <v>0</v>
      </c>
      <c r="F22" s="192">
        <v>0</v>
      </c>
      <c r="G22" s="193">
        <v>0</v>
      </c>
    </row>
    <row r="23" spans="1:7">
      <c r="A23" s="25" t="s">
        <v>63</v>
      </c>
      <c r="B23" s="29" t="s">
        <v>14</v>
      </c>
      <c r="C23" s="189">
        <v>570</v>
      </c>
      <c r="D23" s="190">
        <v>780</v>
      </c>
      <c r="E23" s="195">
        <v>977</v>
      </c>
      <c r="F23" s="192">
        <v>855</v>
      </c>
      <c r="G23" s="193">
        <v>858</v>
      </c>
    </row>
    <row r="24" spans="1:7">
      <c r="A24" s="25" t="s">
        <v>64</v>
      </c>
      <c r="B24" s="29" t="s">
        <v>13</v>
      </c>
      <c r="C24" s="189">
        <v>147</v>
      </c>
      <c r="D24" s="190">
        <v>163</v>
      </c>
      <c r="E24" s="195">
        <v>225</v>
      </c>
      <c r="F24" s="192">
        <v>253</v>
      </c>
      <c r="G24" s="193">
        <v>269</v>
      </c>
    </row>
    <row r="25" spans="1:7">
      <c r="A25" s="25" t="s">
        <v>65</v>
      </c>
      <c r="B25" s="29" t="s">
        <v>12</v>
      </c>
      <c r="C25" s="189">
        <v>66</v>
      </c>
      <c r="D25" s="190">
        <v>72</v>
      </c>
      <c r="E25" s="195">
        <v>67</v>
      </c>
      <c r="F25" s="192">
        <v>65</v>
      </c>
      <c r="G25" s="193">
        <v>70</v>
      </c>
    </row>
    <row r="26" spans="1:7">
      <c r="A26" s="25" t="s">
        <v>66</v>
      </c>
      <c r="B26" s="24" t="s">
        <v>67</v>
      </c>
      <c r="C26" s="189">
        <v>1661</v>
      </c>
      <c r="D26" s="190">
        <v>1610</v>
      </c>
      <c r="E26" s="195">
        <v>1662</v>
      </c>
      <c r="F26" s="192">
        <v>1616</v>
      </c>
      <c r="G26" s="193">
        <v>1640</v>
      </c>
    </row>
    <row r="27" spans="1:7">
      <c r="A27" s="25" t="s">
        <v>68</v>
      </c>
      <c r="B27" s="29" t="s">
        <v>9</v>
      </c>
      <c r="C27" s="189">
        <v>67</v>
      </c>
      <c r="D27" s="190">
        <v>75</v>
      </c>
      <c r="E27" s="195">
        <v>55</v>
      </c>
      <c r="F27" s="192">
        <v>58</v>
      </c>
      <c r="G27" s="193">
        <v>107</v>
      </c>
    </row>
    <row r="28" spans="1:7">
      <c r="A28" s="25" t="s">
        <v>69</v>
      </c>
      <c r="B28" s="29" t="s">
        <v>8</v>
      </c>
      <c r="C28" s="189">
        <v>325</v>
      </c>
      <c r="D28" s="190">
        <v>58</v>
      </c>
      <c r="E28" s="195">
        <v>58</v>
      </c>
      <c r="F28" s="192">
        <v>51</v>
      </c>
      <c r="G28" s="193">
        <v>58</v>
      </c>
    </row>
    <row r="29" spans="1:7">
      <c r="A29" s="28" t="s">
        <v>70</v>
      </c>
      <c r="B29" s="27" t="s">
        <v>71</v>
      </c>
      <c r="C29" s="194">
        <f>SUM(C19:C28)</f>
        <v>6463</v>
      </c>
      <c r="D29" s="190">
        <f>SUM(D19:D28)</f>
        <v>7717</v>
      </c>
      <c r="E29" s="195">
        <f>SUM(E19:E28)</f>
        <v>9842</v>
      </c>
      <c r="F29" s="192">
        <f>SUM(F19:F28)</f>
        <v>7971</v>
      </c>
      <c r="G29" s="193">
        <f>SUM(G19:G28)</f>
        <v>6471</v>
      </c>
    </row>
    <row r="30" spans="1:7">
      <c r="A30" s="26"/>
      <c r="B30" s="24"/>
      <c r="C30" s="196"/>
      <c r="D30" s="197"/>
      <c r="E30" s="195"/>
      <c r="F30" s="192"/>
      <c r="G30" s="193"/>
    </row>
    <row r="31" spans="1:7">
      <c r="A31" s="25" t="s">
        <v>72</v>
      </c>
      <c r="B31" s="24" t="s">
        <v>31</v>
      </c>
      <c r="C31" s="189">
        <v>3857</v>
      </c>
      <c r="D31" s="190">
        <v>4084</v>
      </c>
      <c r="E31" s="195">
        <v>4452</v>
      </c>
      <c r="F31" s="192">
        <v>5090</v>
      </c>
      <c r="G31" s="193">
        <v>6379</v>
      </c>
    </row>
    <row r="32" spans="1:7">
      <c r="A32" s="25" t="s">
        <v>73</v>
      </c>
      <c r="B32" s="24" t="s">
        <v>74</v>
      </c>
      <c r="C32" s="189">
        <v>1666</v>
      </c>
      <c r="D32" s="190">
        <v>1641</v>
      </c>
      <c r="E32" s="195">
        <v>1797</v>
      </c>
      <c r="F32" s="192">
        <v>2316</v>
      </c>
      <c r="G32" s="193">
        <v>2831</v>
      </c>
    </row>
    <row r="33" spans="1:7">
      <c r="A33" s="25" t="s">
        <v>75</v>
      </c>
      <c r="B33" s="24" t="s">
        <v>76</v>
      </c>
      <c r="C33" s="189">
        <v>0</v>
      </c>
      <c r="D33" s="190">
        <v>0</v>
      </c>
      <c r="E33" s="195">
        <v>0</v>
      </c>
      <c r="F33" s="192">
        <v>0</v>
      </c>
      <c r="G33" s="193"/>
    </row>
    <row r="34" spans="1:7" ht="15.75" thickBot="1">
      <c r="A34" s="23" t="s">
        <v>77</v>
      </c>
      <c r="B34" s="22" t="s">
        <v>78</v>
      </c>
      <c r="C34" s="199">
        <f>C17+C29+C31+C32+C33</f>
        <v>21404</v>
      </c>
      <c r="D34" s="200">
        <f>D17+D29+D31+D32+D33</f>
        <v>23573</v>
      </c>
      <c r="E34" s="201">
        <f>E17+E29+E31+E32+E33</f>
        <v>25621</v>
      </c>
      <c r="F34" s="202">
        <f>F17+F29+F31+F32+F33</f>
        <v>25416</v>
      </c>
      <c r="G34" s="203">
        <f>G17+G29+G31+G32+G33</f>
        <v>26229</v>
      </c>
    </row>
    <row r="35" spans="1:7" ht="15.75" thickTop="1">
      <c r="A35" s="21"/>
      <c r="B35" s="403" t="s">
        <v>98</v>
      </c>
      <c r="C35" s="403"/>
      <c r="D35" s="403"/>
      <c r="E35" s="403"/>
      <c r="F35" s="403"/>
      <c r="G35" s="403"/>
    </row>
    <row r="37" spans="1:7" ht="15.75" thickBot="1"/>
    <row r="38" spans="1:7" ht="15.75" thickTop="1">
      <c r="A38" s="406"/>
      <c r="B38" s="407" t="s">
        <v>99</v>
      </c>
      <c r="C38" s="409" t="s">
        <v>18</v>
      </c>
      <c r="D38" s="410"/>
      <c r="E38" s="410"/>
      <c r="F38" s="410"/>
      <c r="G38" s="411"/>
    </row>
    <row r="39" spans="1:7" ht="15.75" thickBot="1">
      <c r="A39" s="406"/>
      <c r="B39" s="408"/>
      <c r="C39" s="412"/>
      <c r="D39" s="413"/>
      <c r="E39" s="413"/>
      <c r="F39" s="413"/>
      <c r="G39" s="414"/>
    </row>
    <row r="40" spans="1:7" ht="16.5" thickTop="1" thickBot="1">
      <c r="A40" s="41"/>
      <c r="B40" s="40"/>
      <c r="C40" s="39">
        <v>2012</v>
      </c>
      <c r="D40" s="38">
        <v>2013</v>
      </c>
      <c r="E40" s="37">
        <v>2014</v>
      </c>
      <c r="F40" s="36">
        <v>2015</v>
      </c>
      <c r="G40" s="35">
        <v>2016</v>
      </c>
    </row>
    <row r="41" spans="1:7" ht="15.75" thickTop="1">
      <c r="A41" s="26"/>
      <c r="B41" s="27" t="s">
        <v>50</v>
      </c>
      <c r="C41" s="34"/>
      <c r="D41" s="32"/>
      <c r="E41" s="33"/>
      <c r="F41" s="32"/>
      <c r="G41" s="31"/>
    </row>
    <row r="42" spans="1:7">
      <c r="A42" s="25" t="s">
        <v>51</v>
      </c>
      <c r="B42" s="30" t="s">
        <v>52</v>
      </c>
      <c r="C42" s="204">
        <v>7568</v>
      </c>
      <c r="D42" s="205">
        <v>7833</v>
      </c>
      <c r="E42" s="206">
        <v>8065</v>
      </c>
      <c r="F42" s="192">
        <v>8427</v>
      </c>
      <c r="G42" s="207">
        <v>8764</v>
      </c>
    </row>
    <row r="43" spans="1:7">
      <c r="A43" s="25" t="s">
        <v>53</v>
      </c>
      <c r="B43" s="30" t="s">
        <v>54</v>
      </c>
      <c r="C43" s="204">
        <v>2654</v>
      </c>
      <c r="D43" s="205">
        <v>2747</v>
      </c>
      <c r="E43" s="206">
        <v>2828</v>
      </c>
      <c r="F43" s="192">
        <v>2955</v>
      </c>
      <c r="G43" s="207">
        <v>3073</v>
      </c>
    </row>
    <row r="44" spans="1:7">
      <c r="A44" s="28" t="s">
        <v>55</v>
      </c>
      <c r="B44" s="27" t="s">
        <v>56</v>
      </c>
      <c r="C44" s="205">
        <f>SUM(C42:C43)</f>
        <v>10222</v>
      </c>
      <c r="D44" s="205">
        <f>SUM(D42:D43)</f>
        <v>10580</v>
      </c>
      <c r="E44" s="197">
        <f>SUM(E42:E43)</f>
        <v>10893</v>
      </c>
      <c r="F44" s="205">
        <f>SUM(F42:F43)</f>
        <v>11382</v>
      </c>
      <c r="G44" s="207">
        <f>SUM(G42:G43)</f>
        <v>11837</v>
      </c>
    </row>
    <row r="45" spans="1:7">
      <c r="A45" s="26"/>
      <c r="B45" s="27" t="s">
        <v>57</v>
      </c>
      <c r="C45" s="204"/>
      <c r="D45" s="205"/>
      <c r="E45" s="197"/>
      <c r="F45" s="205"/>
      <c r="G45" s="207"/>
    </row>
    <row r="46" spans="1:7">
      <c r="A46" s="25" t="s">
        <v>58</v>
      </c>
      <c r="B46" s="29" t="s">
        <v>10</v>
      </c>
      <c r="C46" s="204">
        <v>1464</v>
      </c>
      <c r="D46" s="205">
        <v>1356</v>
      </c>
      <c r="E46" s="197">
        <v>1334</v>
      </c>
      <c r="F46" s="205">
        <v>1371</v>
      </c>
      <c r="G46" s="207">
        <v>1402</v>
      </c>
    </row>
    <row r="47" spans="1:7">
      <c r="A47" s="25" t="s">
        <v>59</v>
      </c>
      <c r="B47" s="29" t="s">
        <v>60</v>
      </c>
      <c r="C47" s="204">
        <v>205</v>
      </c>
      <c r="D47" s="205">
        <v>209</v>
      </c>
      <c r="E47" s="197">
        <v>213</v>
      </c>
      <c r="F47" s="205">
        <v>217</v>
      </c>
      <c r="G47" s="207">
        <v>222</v>
      </c>
    </row>
    <row r="48" spans="1:7">
      <c r="A48" s="25" t="s">
        <v>61</v>
      </c>
      <c r="B48" s="29" t="s">
        <v>16</v>
      </c>
      <c r="C48" s="204">
        <v>2108</v>
      </c>
      <c r="D48" s="205">
        <v>2151</v>
      </c>
      <c r="E48" s="197">
        <v>2196</v>
      </c>
      <c r="F48" s="205">
        <v>2240</v>
      </c>
      <c r="G48" s="207">
        <v>2285</v>
      </c>
    </row>
    <row r="49" spans="1:7">
      <c r="A49" s="25" t="s">
        <v>62</v>
      </c>
      <c r="B49" s="29" t="s">
        <v>15</v>
      </c>
      <c r="C49" s="204">
        <v>0</v>
      </c>
      <c r="D49" s="205">
        <v>0</v>
      </c>
      <c r="E49" s="197">
        <v>0</v>
      </c>
      <c r="F49" s="205">
        <v>0</v>
      </c>
      <c r="G49" s="207">
        <v>0</v>
      </c>
    </row>
    <row r="50" spans="1:7">
      <c r="A50" s="25" t="s">
        <v>63</v>
      </c>
      <c r="B50" s="29" t="s">
        <v>14</v>
      </c>
      <c r="C50" s="204">
        <v>871</v>
      </c>
      <c r="D50" s="205">
        <v>889</v>
      </c>
      <c r="E50" s="197">
        <v>906</v>
      </c>
      <c r="F50" s="205">
        <v>925</v>
      </c>
      <c r="G50" s="207">
        <v>943</v>
      </c>
    </row>
    <row r="51" spans="1:7">
      <c r="A51" s="25" t="s">
        <v>64</v>
      </c>
      <c r="B51" s="29" t="s">
        <v>13</v>
      </c>
      <c r="C51" s="204">
        <v>273</v>
      </c>
      <c r="D51" s="205">
        <v>278</v>
      </c>
      <c r="E51" s="197">
        <v>284</v>
      </c>
      <c r="F51" s="205">
        <v>289</v>
      </c>
      <c r="G51" s="207">
        <v>295</v>
      </c>
    </row>
    <row r="52" spans="1:7">
      <c r="A52" s="25" t="s">
        <v>65</v>
      </c>
      <c r="B52" s="29" t="s">
        <v>12</v>
      </c>
      <c r="C52" s="204">
        <v>71</v>
      </c>
      <c r="D52" s="205">
        <v>73</v>
      </c>
      <c r="E52" s="197">
        <v>74</v>
      </c>
      <c r="F52" s="205">
        <v>76</v>
      </c>
      <c r="G52" s="207">
        <v>77</v>
      </c>
    </row>
    <row r="53" spans="1:7">
      <c r="A53" s="25" t="s">
        <v>66</v>
      </c>
      <c r="B53" s="24" t="s">
        <v>67</v>
      </c>
      <c r="C53" s="204">
        <v>1700</v>
      </c>
      <c r="D53" s="205">
        <v>1680</v>
      </c>
      <c r="E53" s="197">
        <v>1700</v>
      </c>
      <c r="F53" s="205">
        <v>1620</v>
      </c>
      <c r="G53" s="207">
        <v>1625</v>
      </c>
    </row>
    <row r="54" spans="1:7">
      <c r="A54" s="25" t="s">
        <v>68</v>
      </c>
      <c r="B54" s="29" t="s">
        <v>9</v>
      </c>
      <c r="C54" s="204">
        <v>0</v>
      </c>
      <c r="D54" s="205">
        <v>0</v>
      </c>
      <c r="E54" s="197">
        <v>0</v>
      </c>
      <c r="F54" s="205">
        <v>0</v>
      </c>
      <c r="G54" s="193">
        <v>0</v>
      </c>
    </row>
    <row r="55" spans="1:7">
      <c r="A55" s="25" t="s">
        <v>69</v>
      </c>
      <c r="B55" s="29" t="s">
        <v>8</v>
      </c>
      <c r="C55" s="204">
        <v>58</v>
      </c>
      <c r="D55" s="205">
        <v>58</v>
      </c>
      <c r="E55" s="197">
        <v>58</v>
      </c>
      <c r="F55" s="205">
        <v>58</v>
      </c>
      <c r="G55" s="193">
        <v>58</v>
      </c>
    </row>
    <row r="56" spans="1:7">
      <c r="A56" s="28" t="s">
        <v>70</v>
      </c>
      <c r="B56" s="27" t="s">
        <v>71</v>
      </c>
      <c r="C56" s="205">
        <f>SUM(C46:C55)</f>
        <v>6750</v>
      </c>
      <c r="D56" s="205">
        <f>SUM(D46:D55)</f>
        <v>6694</v>
      </c>
      <c r="E56" s="197">
        <f>SUM(E46:E55)</f>
        <v>6765</v>
      </c>
      <c r="F56" s="205">
        <f>SUM(F46:F55)</f>
        <v>6796</v>
      </c>
      <c r="G56" s="193">
        <f>SUM(G46:G55)</f>
        <v>6907</v>
      </c>
    </row>
    <row r="57" spans="1:7">
      <c r="A57" s="26"/>
      <c r="B57" s="24"/>
      <c r="C57" s="204"/>
      <c r="D57" s="205"/>
      <c r="E57" s="197"/>
      <c r="F57" s="205"/>
      <c r="G57" s="193"/>
    </row>
    <row r="58" spans="1:7">
      <c r="A58" s="25" t="s">
        <v>72</v>
      </c>
      <c r="B58" s="24" t="s">
        <v>31</v>
      </c>
      <c r="C58" s="204">
        <v>4857</v>
      </c>
      <c r="D58" s="205">
        <v>4884</v>
      </c>
      <c r="E58" s="197">
        <v>5144</v>
      </c>
      <c r="F58" s="205">
        <v>5025</v>
      </c>
      <c r="G58" s="193">
        <v>5503</v>
      </c>
    </row>
    <row r="59" spans="1:7">
      <c r="A59" s="25" t="s">
        <v>73</v>
      </c>
      <c r="B59" s="24" t="s">
        <v>74</v>
      </c>
      <c r="C59" s="204">
        <v>3130</v>
      </c>
      <c r="D59" s="205">
        <v>2943</v>
      </c>
      <c r="E59" s="197">
        <v>3017</v>
      </c>
      <c r="F59" s="205">
        <v>2894</v>
      </c>
      <c r="G59" s="193">
        <v>2809</v>
      </c>
    </row>
    <row r="60" spans="1:7">
      <c r="A60" s="25" t="s">
        <v>75</v>
      </c>
      <c r="B60" s="24" t="s">
        <v>76</v>
      </c>
      <c r="C60" s="204">
        <v>0</v>
      </c>
      <c r="D60" s="205">
        <v>0</v>
      </c>
      <c r="E60" s="197">
        <v>0</v>
      </c>
      <c r="F60" s="205">
        <v>0</v>
      </c>
      <c r="G60" s="193">
        <v>0</v>
      </c>
    </row>
    <row r="61" spans="1:7" ht="15.75" thickBot="1">
      <c r="A61" s="23" t="s">
        <v>77</v>
      </c>
      <c r="B61" s="22" t="s">
        <v>78</v>
      </c>
      <c r="C61" s="208">
        <f>C44+C56+C58+C59+C60</f>
        <v>24959</v>
      </c>
      <c r="D61" s="208">
        <f>D44+D56+D58+D59+D60</f>
        <v>25101</v>
      </c>
      <c r="E61" s="209">
        <f>E44+E56+E58+E59+E60</f>
        <v>25819</v>
      </c>
      <c r="F61" s="210">
        <f>F44+F56+F58+F59+F60</f>
        <v>26097</v>
      </c>
      <c r="G61" s="203">
        <f>G44+G56+G58+G59+G60</f>
        <v>27056</v>
      </c>
    </row>
    <row r="62" spans="1:7" ht="15.75" thickTop="1">
      <c r="A62" s="21"/>
      <c r="B62" s="403" t="s">
        <v>98</v>
      </c>
      <c r="C62" s="403"/>
      <c r="D62" s="403"/>
      <c r="E62" s="403"/>
      <c r="F62" s="403"/>
      <c r="G62" s="403"/>
    </row>
    <row r="65" spans="1:11" ht="26.25">
      <c r="A65" s="55"/>
      <c r="B65" s="57" t="s">
        <v>108</v>
      </c>
      <c r="C65" s="57" t="s">
        <v>109</v>
      </c>
      <c r="D65" s="56"/>
      <c r="E65" s="56"/>
      <c r="F65" s="56"/>
      <c r="G65" s="55"/>
      <c r="H65" s="55"/>
      <c r="I65" s="55"/>
      <c r="J65" s="55"/>
      <c r="K65" s="55"/>
    </row>
    <row r="66" spans="1:11">
      <c r="A66"/>
      <c r="B66"/>
      <c r="C66"/>
      <c r="D66"/>
      <c r="E66"/>
      <c r="F66"/>
      <c r="G66"/>
      <c r="H66"/>
      <c r="I66" s="69"/>
      <c r="J66"/>
      <c r="K66"/>
    </row>
    <row r="67" spans="1:11" ht="15.75" thickBot="1">
      <c r="A67"/>
      <c r="B67" s="7"/>
      <c r="C67" s="397"/>
      <c r="D67" s="397"/>
      <c r="E67" s="397"/>
      <c r="F67" s="397"/>
      <c r="G67" s="397"/>
      <c r="H67" s="70"/>
      <c r="I67" s="69"/>
      <c r="J67"/>
      <c r="K67"/>
    </row>
    <row r="68" spans="1:11" ht="57" thickTop="1">
      <c r="A68"/>
      <c r="B68" s="71" t="s">
        <v>110</v>
      </c>
      <c r="C68" s="72" t="s">
        <v>19</v>
      </c>
      <c r="D68" s="72" t="s">
        <v>19</v>
      </c>
      <c r="E68" s="72" t="s">
        <v>19</v>
      </c>
      <c r="F68" s="72" t="s">
        <v>19</v>
      </c>
      <c r="G68" s="72" t="s">
        <v>18</v>
      </c>
      <c r="H68" s="73" t="s">
        <v>0</v>
      </c>
      <c r="I68" s="74" t="s">
        <v>111</v>
      </c>
      <c r="J68"/>
      <c r="K68"/>
    </row>
    <row r="69" spans="1:11" ht="15.75" thickBot="1">
      <c r="A69"/>
      <c r="B69" s="75"/>
      <c r="C69" s="76">
        <v>2007</v>
      </c>
      <c r="D69" s="76">
        <v>2008</v>
      </c>
      <c r="E69" s="76">
        <v>2009</v>
      </c>
      <c r="F69" s="76">
        <v>2010</v>
      </c>
      <c r="G69" s="76">
        <v>2011</v>
      </c>
      <c r="H69" s="76" t="s">
        <v>112</v>
      </c>
      <c r="I69" s="77" t="s">
        <v>112</v>
      </c>
      <c r="J69"/>
      <c r="K69"/>
    </row>
    <row r="70" spans="1:11">
      <c r="A70"/>
      <c r="B70" s="78" t="s">
        <v>79</v>
      </c>
      <c r="C70" s="79"/>
      <c r="D70" s="80"/>
      <c r="E70" s="80"/>
      <c r="F70" s="81"/>
      <c r="G70" s="82"/>
      <c r="H70" s="82"/>
      <c r="I70" s="82"/>
      <c r="J70"/>
      <c r="K70"/>
    </row>
    <row r="71" spans="1:11">
      <c r="A71"/>
      <c r="B71" s="83" t="s">
        <v>38</v>
      </c>
      <c r="C71" s="211">
        <v>51</v>
      </c>
      <c r="D71" s="212">
        <v>34</v>
      </c>
      <c r="E71" s="213">
        <v>99</v>
      </c>
      <c r="F71" s="214">
        <v>102</v>
      </c>
      <c r="G71" s="213">
        <v>1895</v>
      </c>
      <c r="H71" s="213">
        <f>SUM(C71:G71)</f>
        <v>2181</v>
      </c>
      <c r="I71" s="84">
        <v>3348000</v>
      </c>
      <c r="J71"/>
      <c r="K71" s="85"/>
    </row>
    <row r="72" spans="1:11">
      <c r="A72"/>
      <c r="B72" s="86" t="s">
        <v>37</v>
      </c>
      <c r="C72" s="211">
        <v>898</v>
      </c>
      <c r="D72" s="212">
        <v>741</v>
      </c>
      <c r="E72" s="213">
        <v>519</v>
      </c>
      <c r="F72" s="213">
        <v>20</v>
      </c>
      <c r="G72" s="213">
        <v>13</v>
      </c>
      <c r="H72" s="213">
        <f t="shared" ref="H72:H81" si="0">SUM(C72:G72)</f>
        <v>2191</v>
      </c>
      <c r="I72" s="84">
        <v>9994000</v>
      </c>
      <c r="J72"/>
      <c r="K72" s="85"/>
    </row>
    <row r="73" spans="1:11">
      <c r="A73"/>
      <c r="B73" s="86" t="s">
        <v>36</v>
      </c>
      <c r="C73" s="212">
        <v>1398</v>
      </c>
      <c r="D73" s="212">
        <v>2432</v>
      </c>
      <c r="E73" s="213">
        <v>849</v>
      </c>
      <c r="F73" s="213">
        <v>455</v>
      </c>
      <c r="G73" s="213">
        <v>809</v>
      </c>
      <c r="H73" s="213">
        <f t="shared" si="0"/>
        <v>5943</v>
      </c>
      <c r="I73" s="84">
        <v>12846000</v>
      </c>
      <c r="J73"/>
      <c r="K73" s="85"/>
    </row>
    <row r="74" spans="1:11">
      <c r="A74"/>
      <c r="B74" s="86" t="s">
        <v>35</v>
      </c>
      <c r="C74" s="211">
        <v>952</v>
      </c>
      <c r="D74" s="212">
        <v>2016</v>
      </c>
      <c r="E74" s="213">
        <v>8026</v>
      </c>
      <c r="F74" s="213">
        <v>2573</v>
      </c>
      <c r="G74" s="213">
        <v>1188</v>
      </c>
      <c r="H74" s="213">
        <f t="shared" si="0"/>
        <v>14755</v>
      </c>
      <c r="I74" s="84">
        <v>15592000</v>
      </c>
      <c r="J74"/>
      <c r="K74" s="85"/>
    </row>
    <row r="75" spans="1:11">
      <c r="A75"/>
      <c r="B75" s="86" t="s">
        <v>34</v>
      </c>
      <c r="C75" s="211">
        <v>25</v>
      </c>
      <c r="D75" s="212">
        <v>16</v>
      </c>
      <c r="E75" s="213">
        <v>2</v>
      </c>
      <c r="F75" s="213">
        <v>0</v>
      </c>
      <c r="G75" s="213">
        <v>0</v>
      </c>
      <c r="H75" s="213">
        <f t="shared" si="0"/>
        <v>43</v>
      </c>
      <c r="I75" s="84">
        <v>443000</v>
      </c>
      <c r="J75"/>
      <c r="K75" s="85"/>
    </row>
    <row r="76" spans="1:11">
      <c r="A76"/>
      <c r="B76" s="86" t="s">
        <v>17</v>
      </c>
      <c r="C76" s="212">
        <v>1</v>
      </c>
      <c r="D76" s="212">
        <v>110</v>
      </c>
      <c r="E76" s="213">
        <v>3</v>
      </c>
      <c r="F76" s="213">
        <v>0</v>
      </c>
      <c r="G76" s="213">
        <v>0</v>
      </c>
      <c r="H76" s="213">
        <f t="shared" si="0"/>
        <v>114</v>
      </c>
      <c r="I76" s="84">
        <v>1047000</v>
      </c>
      <c r="J76"/>
      <c r="K76" s="85"/>
    </row>
    <row r="77" spans="1:11">
      <c r="A77"/>
      <c r="B77" s="86" t="s">
        <v>33</v>
      </c>
      <c r="C77" s="212">
        <v>232</v>
      </c>
      <c r="D77" s="212">
        <v>205</v>
      </c>
      <c r="E77" s="213">
        <v>160</v>
      </c>
      <c r="F77" s="213">
        <v>79</v>
      </c>
      <c r="G77" s="213">
        <v>253</v>
      </c>
      <c r="H77" s="213">
        <f t="shared" si="0"/>
        <v>929</v>
      </c>
      <c r="I77" s="84">
        <v>2192000</v>
      </c>
      <c r="J77"/>
      <c r="K77" s="85"/>
    </row>
    <row r="78" spans="1:11">
      <c r="A78"/>
      <c r="B78" s="86" t="s">
        <v>10</v>
      </c>
      <c r="C78" s="212">
        <v>154</v>
      </c>
      <c r="D78" s="212">
        <v>118</v>
      </c>
      <c r="E78" s="213">
        <v>132</v>
      </c>
      <c r="F78" s="213">
        <v>0</v>
      </c>
      <c r="G78" s="213">
        <v>658</v>
      </c>
      <c r="H78" s="213">
        <f t="shared" si="0"/>
        <v>1062</v>
      </c>
      <c r="I78" s="84">
        <v>1191000</v>
      </c>
      <c r="J78"/>
      <c r="K78" s="85"/>
    </row>
    <row r="79" spans="1:11">
      <c r="A79"/>
      <c r="B79" s="86" t="s">
        <v>32</v>
      </c>
      <c r="C79" s="212">
        <v>23</v>
      </c>
      <c r="D79" s="212">
        <v>36</v>
      </c>
      <c r="E79" s="213">
        <v>120</v>
      </c>
      <c r="F79" s="213">
        <v>350</v>
      </c>
      <c r="G79" s="213">
        <v>38</v>
      </c>
      <c r="H79" s="213">
        <f t="shared" si="0"/>
        <v>567</v>
      </c>
      <c r="I79" s="84">
        <v>807000</v>
      </c>
      <c r="J79"/>
      <c r="K79" s="85"/>
    </row>
    <row r="80" spans="1:11">
      <c r="A80"/>
      <c r="B80" s="86" t="s">
        <v>30</v>
      </c>
      <c r="C80" s="212">
        <v>2149</v>
      </c>
      <c r="D80" s="212">
        <v>2351</v>
      </c>
      <c r="E80" s="213">
        <v>650</v>
      </c>
      <c r="F80" s="213">
        <v>106</v>
      </c>
      <c r="G80" s="213">
        <v>300</v>
      </c>
      <c r="H80" s="213">
        <f t="shared" si="0"/>
        <v>5556</v>
      </c>
      <c r="I80" s="84">
        <v>10500000</v>
      </c>
      <c r="J80"/>
      <c r="K80" s="85"/>
    </row>
    <row r="81" spans="1:14" ht="15.75" thickBot="1">
      <c r="A81"/>
      <c r="B81" s="87" t="s">
        <v>29</v>
      </c>
      <c r="C81" s="215">
        <v>32</v>
      </c>
      <c r="D81" s="215">
        <v>41</v>
      </c>
      <c r="E81" s="216">
        <v>1535</v>
      </c>
      <c r="F81" s="216">
        <v>5</v>
      </c>
      <c r="G81" s="216">
        <v>0</v>
      </c>
      <c r="H81" s="217">
        <f t="shared" si="0"/>
        <v>1613</v>
      </c>
      <c r="I81" s="88">
        <v>44000000</v>
      </c>
      <c r="J81"/>
      <c r="K81" s="85"/>
    </row>
    <row r="82" spans="1:14" ht="16.5" thickTop="1" thickBot="1">
      <c r="A82"/>
      <c r="B82" s="89" t="s">
        <v>80</v>
      </c>
      <c r="C82" s="218">
        <f t="shared" ref="C82:H82" si="1">SUM(C71:C81)</f>
        <v>5915</v>
      </c>
      <c r="D82" s="219">
        <f t="shared" si="1"/>
        <v>8100</v>
      </c>
      <c r="E82" s="219">
        <f t="shared" si="1"/>
        <v>12095</v>
      </c>
      <c r="F82" s="220">
        <f t="shared" si="1"/>
        <v>3690</v>
      </c>
      <c r="G82" s="216">
        <f t="shared" si="1"/>
        <v>5154</v>
      </c>
      <c r="H82" s="216">
        <f t="shared" si="1"/>
        <v>34954</v>
      </c>
      <c r="I82" s="90">
        <v>101960000</v>
      </c>
      <c r="J82"/>
      <c r="K82" s="1"/>
    </row>
    <row r="83" spans="1:14" ht="15.75" thickTop="1">
      <c r="A83"/>
      <c r="B83"/>
      <c r="C83"/>
      <c r="D83"/>
      <c r="E83"/>
      <c r="F83"/>
      <c r="G83"/>
      <c r="H83"/>
      <c r="I83" s="69"/>
      <c r="J83"/>
      <c r="K83" s="91"/>
    </row>
    <row r="84" spans="1:14">
      <c r="A84"/>
      <c r="B84" s="250" t="s">
        <v>187</v>
      </c>
      <c r="C84" s="85">
        <f>C82-C81-C80</f>
        <v>3734</v>
      </c>
      <c r="D84" s="85">
        <f t="shared" ref="D84:I84" si="2">D82-D81-D80</f>
        <v>5708</v>
      </c>
      <c r="E84" s="85">
        <f t="shared" si="2"/>
        <v>9910</v>
      </c>
      <c r="F84" s="85">
        <f t="shared" si="2"/>
        <v>3579</v>
      </c>
      <c r="G84" s="85">
        <f t="shared" si="2"/>
        <v>4854</v>
      </c>
      <c r="H84" s="85">
        <f t="shared" si="2"/>
        <v>27785</v>
      </c>
      <c r="I84" s="85">
        <f t="shared" si="2"/>
        <v>47460000</v>
      </c>
      <c r="J84"/>
      <c r="K84"/>
    </row>
    <row r="85" spans="1:14">
      <c r="A85"/>
      <c r="B85"/>
      <c r="C85"/>
      <c r="D85"/>
      <c r="E85"/>
      <c r="F85"/>
      <c r="G85"/>
      <c r="H85"/>
      <c r="I85" s="69"/>
      <c r="J85"/>
      <c r="K85"/>
    </row>
    <row r="86" spans="1:14">
      <c r="A86"/>
      <c r="B86"/>
      <c r="C86"/>
      <c r="D86"/>
      <c r="E86"/>
      <c r="F86"/>
      <c r="G86"/>
      <c r="H86"/>
      <c r="I86" s="69"/>
      <c r="J86"/>
      <c r="K86"/>
    </row>
    <row r="87" spans="1:14" ht="18.75">
      <c r="A87"/>
      <c r="B87" s="92" t="s">
        <v>113</v>
      </c>
      <c r="C87"/>
      <c r="D87"/>
      <c r="E87" s="69"/>
      <c r="F87"/>
      <c r="G87"/>
      <c r="H87"/>
      <c r="I87" s="69"/>
      <c r="J87"/>
      <c r="K87"/>
    </row>
    <row r="88" spans="1:14" ht="15.75" thickBot="1">
      <c r="A88"/>
      <c r="B88"/>
      <c r="C88"/>
      <c r="D88"/>
      <c r="E88"/>
      <c r="F88"/>
      <c r="G88"/>
      <c r="H88"/>
      <c r="I88" s="69"/>
      <c r="J88"/>
      <c r="K88"/>
    </row>
    <row r="89" spans="1:14" ht="57" thickTop="1">
      <c r="A89"/>
      <c r="B89" s="93" t="s">
        <v>110</v>
      </c>
      <c r="C89" s="398" t="s">
        <v>48</v>
      </c>
      <c r="D89" s="399"/>
      <c r="E89" s="400"/>
      <c r="F89" s="401" t="s">
        <v>114</v>
      </c>
      <c r="G89" s="402"/>
      <c r="H89" s="94" t="s">
        <v>0</v>
      </c>
      <c r="I89" s="95" t="s">
        <v>111</v>
      </c>
      <c r="J89"/>
      <c r="K89"/>
    </row>
    <row r="90" spans="1:14" ht="15.75" thickBot="1">
      <c r="A90"/>
      <c r="B90" s="96"/>
      <c r="C90" s="97">
        <v>2007</v>
      </c>
      <c r="D90" s="98">
        <v>2008</v>
      </c>
      <c r="E90" s="99">
        <v>2009</v>
      </c>
      <c r="F90" s="99">
        <v>2010</v>
      </c>
      <c r="G90" s="99">
        <v>2011</v>
      </c>
      <c r="H90" s="99" t="s">
        <v>112</v>
      </c>
      <c r="I90" s="77" t="s">
        <v>112</v>
      </c>
      <c r="J90"/>
      <c r="K90"/>
    </row>
    <row r="91" spans="1:14" ht="15.75" thickTop="1">
      <c r="A91"/>
      <c r="B91" s="78" t="s">
        <v>79</v>
      </c>
      <c r="C91" s="79"/>
      <c r="D91" s="80"/>
      <c r="E91" s="80"/>
      <c r="F91" s="81"/>
      <c r="G91" s="82"/>
      <c r="H91" s="82"/>
      <c r="I91" s="82"/>
      <c r="J91"/>
      <c r="K91" t="s">
        <v>197</v>
      </c>
      <c r="L91"/>
      <c r="M91"/>
    </row>
    <row r="92" spans="1:14">
      <c r="A92"/>
      <c r="B92" s="86" t="s">
        <v>37</v>
      </c>
      <c r="C92" s="211">
        <v>0</v>
      </c>
      <c r="D92" s="212">
        <v>321</v>
      </c>
      <c r="E92" s="213">
        <v>442</v>
      </c>
      <c r="F92" s="213">
        <v>9</v>
      </c>
      <c r="G92" s="213">
        <v>0</v>
      </c>
      <c r="H92" s="213">
        <f>SUM(C92:G92)</f>
        <v>772</v>
      </c>
      <c r="I92" s="84"/>
      <c r="J92"/>
      <c r="K92"/>
      <c r="L92" t="s">
        <v>194</v>
      </c>
      <c r="M92" s="20" t="s">
        <v>237</v>
      </c>
    </row>
    <row r="93" spans="1:14">
      <c r="A93"/>
      <c r="B93" s="86" t="s">
        <v>36</v>
      </c>
      <c r="C93" s="212">
        <v>0</v>
      </c>
      <c r="D93" s="212">
        <v>106</v>
      </c>
      <c r="E93" s="213">
        <v>31</v>
      </c>
      <c r="F93" s="213">
        <v>0</v>
      </c>
      <c r="G93" s="213">
        <v>0</v>
      </c>
      <c r="H93" s="213">
        <f>SUM(C93:G93)</f>
        <v>137</v>
      </c>
      <c r="I93" s="84"/>
      <c r="J93"/>
      <c r="K93" t="s">
        <v>198</v>
      </c>
      <c r="M93" s="273">
        <v>101.7</v>
      </c>
    </row>
    <row r="94" spans="1:14">
      <c r="A94"/>
      <c r="B94" s="86" t="s">
        <v>35</v>
      </c>
      <c r="C94" s="211">
        <v>0</v>
      </c>
      <c r="D94" s="212">
        <v>303</v>
      </c>
      <c r="E94" s="213">
        <v>280</v>
      </c>
      <c r="F94" s="213">
        <v>7</v>
      </c>
      <c r="G94" s="213"/>
      <c r="H94" s="213">
        <f>SUM(C94:G94)</f>
        <v>590</v>
      </c>
      <c r="I94" s="84"/>
      <c r="J94"/>
      <c r="K94" t="s">
        <v>195</v>
      </c>
      <c r="L94" s="270">
        <f>SUM(C95:G95)</f>
        <v>5538</v>
      </c>
      <c r="M94" s="271">
        <f>C95*CPI!E11+D95*CPI!E12+E95*CPI!E13+F95*CPI!E14+G95*CPI!E15</f>
        <v>5395.2859680336451</v>
      </c>
      <c r="N94" s="271"/>
    </row>
    <row r="95" spans="1:14" ht="15.75" thickBot="1">
      <c r="A95"/>
      <c r="B95" s="86" t="s">
        <v>30</v>
      </c>
      <c r="C95" s="212">
        <v>2149</v>
      </c>
      <c r="D95" s="212">
        <v>2333</v>
      </c>
      <c r="E95" s="213">
        <v>650</v>
      </c>
      <c r="F95" s="213">
        <v>106</v>
      </c>
      <c r="G95" s="213">
        <v>300</v>
      </c>
      <c r="H95" s="213">
        <f>SUM(C95:G95)</f>
        <v>5538</v>
      </c>
      <c r="I95" s="84">
        <v>10500000</v>
      </c>
      <c r="J95"/>
      <c r="K95" t="s">
        <v>39</v>
      </c>
      <c r="L95" s="270">
        <f>SUM(C81:G81)</f>
        <v>1613</v>
      </c>
      <c r="M95" s="271">
        <f>C81*CPI!E11+D81*CPI!E12+E81*CPI!E13+F81*CPI!E14+G81*CPI!E15</f>
        <v>1603.141665248643</v>
      </c>
    </row>
    <row r="96" spans="1:14" ht="16.5" thickTop="1" thickBot="1">
      <c r="A96"/>
      <c r="B96" s="89" t="s">
        <v>80</v>
      </c>
      <c r="C96" s="218">
        <f t="shared" ref="C96:H96" si="3">SUM(C92:C95)</f>
        <v>2149</v>
      </c>
      <c r="D96" s="219">
        <f t="shared" si="3"/>
        <v>3063</v>
      </c>
      <c r="E96" s="219">
        <f t="shared" si="3"/>
        <v>1403</v>
      </c>
      <c r="F96" s="221">
        <f t="shared" si="3"/>
        <v>122</v>
      </c>
      <c r="G96" s="216">
        <f t="shared" si="3"/>
        <v>300</v>
      </c>
      <c r="H96" s="216">
        <f t="shared" si="3"/>
        <v>7037</v>
      </c>
      <c r="I96" s="90">
        <f>SUM(I95)</f>
        <v>10500000</v>
      </c>
      <c r="J96"/>
      <c r="K96"/>
    </row>
    <row r="97" spans="1:11" ht="15.75" thickTop="1">
      <c r="A97"/>
      <c r="B97"/>
      <c r="C97"/>
      <c r="D97"/>
      <c r="E97"/>
      <c r="F97"/>
      <c r="G97"/>
      <c r="H97"/>
      <c r="I97" s="100"/>
      <c r="J97"/>
      <c r="K97"/>
    </row>
    <row r="98" spans="1:11">
      <c r="A98"/>
      <c r="B98"/>
      <c r="C98"/>
      <c r="D98"/>
      <c r="E98"/>
      <c r="F98"/>
      <c r="G98"/>
      <c r="H98"/>
      <c r="I98" s="69"/>
      <c r="J98"/>
      <c r="K98"/>
    </row>
    <row r="99" spans="1:11">
      <c r="A99"/>
      <c r="B99"/>
      <c r="C99"/>
      <c r="D99"/>
      <c r="E99"/>
      <c r="F99"/>
      <c r="G99"/>
      <c r="H99"/>
      <c r="I99" s="69"/>
      <c r="J99"/>
      <c r="K99"/>
    </row>
    <row r="100" spans="1:11" ht="15.75" thickBot="1">
      <c r="A100"/>
      <c r="B100"/>
      <c r="C100"/>
      <c r="D100"/>
      <c r="E100"/>
      <c r="F100"/>
      <c r="G100"/>
      <c r="H100"/>
      <c r="I100" s="69"/>
      <c r="J100"/>
      <c r="K100"/>
    </row>
    <row r="101" spans="1:11">
      <c r="A101"/>
      <c r="B101" s="71" t="s">
        <v>110</v>
      </c>
      <c r="C101" s="72" t="s">
        <v>18</v>
      </c>
      <c r="D101" s="72" t="s">
        <v>18</v>
      </c>
      <c r="E101" s="72" t="s">
        <v>18</v>
      </c>
      <c r="F101" s="72" t="s">
        <v>18</v>
      </c>
      <c r="G101" s="72" t="s">
        <v>18</v>
      </c>
      <c r="H101" s="73" t="s">
        <v>0</v>
      </c>
      <c r="I101" s="69"/>
      <c r="J101"/>
      <c r="K101"/>
    </row>
    <row r="102" spans="1:11" ht="15.75" thickBot="1">
      <c r="A102"/>
      <c r="B102" s="75"/>
      <c r="C102" s="76">
        <v>2012</v>
      </c>
      <c r="D102" s="76">
        <v>2013</v>
      </c>
      <c r="E102" s="76">
        <v>2014</v>
      </c>
      <c r="F102" s="76">
        <v>2015</v>
      </c>
      <c r="G102" s="76">
        <v>2016</v>
      </c>
      <c r="H102" s="76" t="s">
        <v>115</v>
      </c>
      <c r="I102" s="69"/>
      <c r="J102"/>
      <c r="K102"/>
    </row>
    <row r="103" spans="1:11">
      <c r="A103"/>
      <c r="B103" s="78" t="s">
        <v>79</v>
      </c>
      <c r="C103" s="79"/>
      <c r="D103" s="80"/>
      <c r="E103" s="80"/>
      <c r="F103" s="81"/>
      <c r="G103" s="82"/>
      <c r="H103" s="82"/>
      <c r="I103" s="69"/>
      <c r="J103"/>
      <c r="K103"/>
    </row>
    <row r="104" spans="1:11">
      <c r="A104"/>
      <c r="B104" s="83" t="s">
        <v>38</v>
      </c>
      <c r="C104" s="211">
        <v>369</v>
      </c>
      <c r="D104" s="212">
        <v>373</v>
      </c>
      <c r="E104" s="213">
        <v>805</v>
      </c>
      <c r="F104" s="213">
        <v>873</v>
      </c>
      <c r="G104" s="213">
        <v>500</v>
      </c>
      <c r="H104" s="213">
        <f>SUM(C104:G104)</f>
        <v>2920</v>
      </c>
      <c r="I104" s="69"/>
      <c r="J104"/>
      <c r="K104"/>
    </row>
    <row r="105" spans="1:11">
      <c r="A105"/>
      <c r="B105" s="86" t="s">
        <v>37</v>
      </c>
      <c r="C105" s="211">
        <v>75</v>
      </c>
      <c r="D105" s="212">
        <v>550</v>
      </c>
      <c r="E105" s="213">
        <v>1350</v>
      </c>
      <c r="F105" s="213">
        <v>1000</v>
      </c>
      <c r="G105" s="213">
        <v>1000</v>
      </c>
      <c r="H105" s="213">
        <f t="shared" ref="H105:H113" si="4">SUM(C105:G105)</f>
        <v>3975</v>
      </c>
      <c r="I105" s="69"/>
      <c r="J105"/>
      <c r="K105"/>
    </row>
    <row r="106" spans="1:11">
      <c r="A106"/>
      <c r="B106" s="86" t="s">
        <v>36</v>
      </c>
      <c r="C106" s="212">
        <v>1556</v>
      </c>
      <c r="D106" s="212">
        <v>3462</v>
      </c>
      <c r="E106" s="213">
        <v>1013</v>
      </c>
      <c r="F106" s="213">
        <v>0</v>
      </c>
      <c r="G106" s="213">
        <v>0</v>
      </c>
      <c r="H106" s="213">
        <f t="shared" si="4"/>
        <v>6031</v>
      </c>
      <c r="I106" s="69"/>
      <c r="J106"/>
      <c r="K106"/>
    </row>
    <row r="107" spans="1:11">
      <c r="A107"/>
      <c r="B107" s="86" t="s">
        <v>35</v>
      </c>
      <c r="C107" s="211">
        <v>1285</v>
      </c>
      <c r="D107" s="212">
        <v>934</v>
      </c>
      <c r="E107" s="213">
        <v>1500</v>
      </c>
      <c r="F107" s="213">
        <v>2500</v>
      </c>
      <c r="G107" s="213">
        <v>1500</v>
      </c>
      <c r="H107" s="213">
        <f t="shared" si="4"/>
        <v>7719</v>
      </c>
      <c r="I107" s="69"/>
      <c r="J107"/>
      <c r="K107"/>
    </row>
    <row r="108" spans="1:11">
      <c r="A108"/>
      <c r="B108" s="86" t="s">
        <v>17</v>
      </c>
      <c r="C108" s="212">
        <v>0</v>
      </c>
      <c r="D108" s="212">
        <v>0</v>
      </c>
      <c r="E108" s="213">
        <v>0</v>
      </c>
      <c r="F108" s="213">
        <v>0</v>
      </c>
      <c r="G108" s="213">
        <v>0</v>
      </c>
      <c r="H108" s="213">
        <f t="shared" si="4"/>
        <v>0</v>
      </c>
      <c r="I108" s="69"/>
      <c r="J108"/>
      <c r="K108"/>
    </row>
    <row r="109" spans="1:11">
      <c r="A109"/>
      <c r="B109" s="86" t="s">
        <v>33</v>
      </c>
      <c r="C109" s="212">
        <v>300</v>
      </c>
      <c r="D109" s="212">
        <v>169</v>
      </c>
      <c r="E109" s="213">
        <v>277</v>
      </c>
      <c r="F109" s="213">
        <v>312</v>
      </c>
      <c r="G109" s="213">
        <v>313</v>
      </c>
      <c r="H109" s="213">
        <f t="shared" si="4"/>
        <v>1371</v>
      </c>
      <c r="I109" s="69"/>
      <c r="J109"/>
      <c r="K109"/>
    </row>
    <row r="110" spans="1:11">
      <c r="A110"/>
      <c r="B110" s="86" t="s">
        <v>10</v>
      </c>
      <c r="C110" s="212">
        <v>190</v>
      </c>
      <c r="D110" s="212">
        <v>0</v>
      </c>
      <c r="E110" s="213">
        <v>0</v>
      </c>
      <c r="F110" s="213">
        <v>0</v>
      </c>
      <c r="G110" s="213">
        <v>0</v>
      </c>
      <c r="H110" s="213">
        <f t="shared" si="4"/>
        <v>190</v>
      </c>
      <c r="I110" s="69"/>
      <c r="J110"/>
      <c r="K110"/>
    </row>
    <row r="111" spans="1:11">
      <c r="A111"/>
      <c r="B111" s="86" t="s">
        <v>32</v>
      </c>
      <c r="C111" s="212">
        <v>190</v>
      </c>
      <c r="D111" s="212">
        <v>125</v>
      </c>
      <c r="E111" s="213">
        <v>125</v>
      </c>
      <c r="F111" s="213">
        <v>125</v>
      </c>
      <c r="G111" s="213">
        <v>125</v>
      </c>
      <c r="H111" s="213">
        <f t="shared" si="4"/>
        <v>690</v>
      </c>
      <c r="I111" s="69"/>
      <c r="J111"/>
      <c r="K111"/>
    </row>
    <row r="112" spans="1:11">
      <c r="A112"/>
      <c r="B112" s="86" t="s">
        <v>30</v>
      </c>
      <c r="C112" s="212">
        <v>0</v>
      </c>
      <c r="D112" s="212">
        <v>0</v>
      </c>
      <c r="E112" s="213">
        <v>0</v>
      </c>
      <c r="F112" s="213">
        <v>0</v>
      </c>
      <c r="G112" s="213">
        <v>0</v>
      </c>
      <c r="H112" s="213">
        <f t="shared" si="4"/>
        <v>0</v>
      </c>
      <c r="I112" s="69"/>
      <c r="J112"/>
      <c r="K112"/>
    </row>
    <row r="113" spans="1:11" ht="15.75" thickBot="1">
      <c r="A113"/>
      <c r="B113" s="87" t="s">
        <v>29</v>
      </c>
      <c r="C113" s="215">
        <v>0</v>
      </c>
      <c r="D113" s="215">
        <v>0</v>
      </c>
      <c r="E113" s="216">
        <v>0</v>
      </c>
      <c r="F113" s="216">
        <v>22000</v>
      </c>
      <c r="G113" s="216">
        <v>14387</v>
      </c>
      <c r="H113" s="217">
        <f t="shared" si="4"/>
        <v>36387</v>
      </c>
      <c r="I113" s="69"/>
      <c r="J113"/>
      <c r="K113"/>
    </row>
    <row r="114" spans="1:11" ht="16.5" thickTop="1" thickBot="1">
      <c r="A114"/>
      <c r="B114" s="89" t="s">
        <v>80</v>
      </c>
      <c r="C114" s="218">
        <f t="shared" ref="C114:H114" si="5">SUM(C104:C113)</f>
        <v>3965</v>
      </c>
      <c r="D114" s="219">
        <f t="shared" si="5"/>
        <v>5613</v>
      </c>
      <c r="E114" s="219">
        <f t="shared" si="5"/>
        <v>5070</v>
      </c>
      <c r="F114" s="221">
        <f t="shared" si="5"/>
        <v>26810</v>
      </c>
      <c r="G114" s="216">
        <f t="shared" si="5"/>
        <v>17825</v>
      </c>
      <c r="H114" s="216">
        <f t="shared" si="5"/>
        <v>59283</v>
      </c>
      <c r="I114" s="69"/>
      <c r="J114"/>
      <c r="K114"/>
    </row>
    <row r="115" spans="1:11" ht="15.75" thickTop="1">
      <c r="A115"/>
      <c r="B115"/>
      <c r="C115"/>
      <c r="D115"/>
      <c r="E115"/>
      <c r="F115"/>
      <c r="G115"/>
      <c r="H115"/>
      <c r="I115" s="69"/>
      <c r="J115"/>
      <c r="K115"/>
    </row>
    <row r="116" spans="1:11">
      <c r="A116"/>
      <c r="B116"/>
      <c r="C116"/>
      <c r="D116"/>
      <c r="E116"/>
      <c r="F116"/>
      <c r="G116"/>
      <c r="H116"/>
      <c r="I116"/>
      <c r="J116"/>
      <c r="K116"/>
    </row>
    <row r="117" spans="1:11">
      <c r="A117"/>
      <c r="B117"/>
      <c r="C117"/>
      <c r="D117"/>
      <c r="E117"/>
      <c r="F117"/>
      <c r="G117"/>
      <c r="H117"/>
      <c r="I117"/>
      <c r="J117"/>
      <c r="K117"/>
    </row>
    <row r="118" spans="1:11">
      <c r="A118"/>
      <c r="B118"/>
      <c r="C118"/>
      <c r="D118"/>
      <c r="E118"/>
      <c r="F118"/>
      <c r="G118"/>
      <c r="H118"/>
      <c r="I118"/>
      <c r="J118"/>
      <c r="K118"/>
    </row>
    <row r="119" spans="1:11">
      <c r="A119"/>
      <c r="B119"/>
      <c r="C119"/>
      <c r="D119"/>
      <c r="E119"/>
      <c r="F119"/>
      <c r="G119"/>
      <c r="H119"/>
      <c r="I119"/>
      <c r="J119"/>
    </row>
    <row r="120" spans="1:11">
      <c r="A120"/>
      <c r="B120"/>
      <c r="C120"/>
      <c r="D120"/>
      <c r="E120"/>
      <c r="F120"/>
      <c r="G120"/>
      <c r="H120"/>
      <c r="I120"/>
      <c r="J120"/>
    </row>
  </sheetData>
  <mergeCells count="12">
    <mergeCell ref="A11:A12"/>
    <mergeCell ref="B11:B12"/>
    <mergeCell ref="C11:E11"/>
    <mergeCell ref="B35:G35"/>
    <mergeCell ref="A38:A39"/>
    <mergeCell ref="B38:B39"/>
    <mergeCell ref="C38:G39"/>
    <mergeCell ref="C67:G67"/>
    <mergeCell ref="C89:E89"/>
    <mergeCell ref="F89:G89"/>
    <mergeCell ref="B62:G62"/>
    <mergeCell ref="B3:B4"/>
  </mergeCells>
  <pageMargins left="0.70866141732283472" right="0.70866141732283472" top="0.74803149606299213" bottom="0.74803149606299213" header="0.31496062992125984" footer="0.31496062992125984"/>
  <pageSetup scale="62" fitToHeight="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5"/>
  <sheetViews>
    <sheetView workbookViewId="0">
      <selection activeCell="J25" sqref="J25"/>
    </sheetView>
  </sheetViews>
  <sheetFormatPr defaultRowHeight="12.75"/>
  <cols>
    <col min="2" max="2" width="7.875" customWidth="1"/>
    <col min="3" max="3" width="10.125" customWidth="1"/>
    <col min="4" max="4" width="12" customWidth="1"/>
    <col min="5" max="5" width="11.625" customWidth="1"/>
    <col min="7" max="7" width="10.125" bestFit="1" customWidth="1"/>
  </cols>
  <sheetData>
    <row r="1" spans="1:17" s="11" customFormat="1" ht="15">
      <c r="A1" s="174" t="s">
        <v>150</v>
      </c>
      <c r="D1" s="174"/>
      <c r="F1" s="178"/>
      <c r="G1" s="178"/>
      <c r="H1" s="226"/>
      <c r="I1"/>
      <c r="J1"/>
      <c r="K1"/>
      <c r="L1"/>
      <c r="M1" s="173"/>
    </row>
    <row r="2" spans="1:17" s="11" customFormat="1" ht="15">
      <c r="A2" s="174" t="s">
        <v>151</v>
      </c>
      <c r="D2" s="174"/>
      <c r="F2" s="177">
        <v>101.7</v>
      </c>
      <c r="G2" s="178"/>
      <c r="H2" s="226"/>
      <c r="I2"/>
      <c r="J2"/>
      <c r="K2"/>
      <c r="L2"/>
      <c r="M2" s="173"/>
    </row>
    <row r="3" spans="1:17" s="11" customFormat="1" ht="75" customHeight="1">
      <c r="A3" s="174"/>
      <c r="B3" s="174" t="s">
        <v>153</v>
      </c>
      <c r="C3" s="227" t="s">
        <v>154</v>
      </c>
      <c r="D3" s="228" t="s">
        <v>155</v>
      </c>
      <c r="E3" s="228" t="s">
        <v>156</v>
      </c>
      <c r="G3" s="415"/>
      <c r="H3" s="415"/>
      <c r="I3"/>
      <c r="J3"/>
      <c r="K3"/>
      <c r="L3"/>
    </row>
    <row r="4" spans="1:17" s="11" customFormat="1" ht="15">
      <c r="B4" s="105">
        <v>2000</v>
      </c>
      <c r="C4" s="229">
        <v>79.3</v>
      </c>
      <c r="D4"/>
      <c r="E4" s="135">
        <f>$F$2/C4</f>
        <v>1.2824716267339218</v>
      </c>
      <c r="F4" s="138"/>
      <c r="G4" s="138"/>
      <c r="H4"/>
      <c r="L4"/>
    </row>
    <row r="5" spans="1:17" s="11" customFormat="1" ht="15">
      <c r="B5" s="179">
        <v>2001</v>
      </c>
      <c r="C5" s="230">
        <v>83.2</v>
      </c>
      <c r="D5"/>
      <c r="E5" s="135">
        <f t="shared" ref="E5:E19" si="0">$F$2/C5</f>
        <v>1.2223557692307692</v>
      </c>
      <c r="F5" s="138"/>
      <c r="G5" s="138"/>
      <c r="H5"/>
      <c r="L5"/>
    </row>
    <row r="6" spans="1:17" s="11" customFormat="1" ht="15">
      <c r="B6" s="179">
        <v>2002</v>
      </c>
      <c r="C6" s="230">
        <v>87</v>
      </c>
      <c r="D6"/>
      <c r="E6" s="135">
        <f t="shared" si="0"/>
        <v>1.1689655172413793</v>
      </c>
      <c r="F6" s="138"/>
      <c r="G6" s="138"/>
      <c r="H6"/>
      <c r="L6"/>
    </row>
    <row r="7" spans="1:17" s="11" customFormat="1" ht="15">
      <c r="B7" s="179">
        <v>2003</v>
      </c>
      <c r="C7" s="230">
        <v>90.1</v>
      </c>
      <c r="D7"/>
      <c r="E7" s="135">
        <f t="shared" si="0"/>
        <v>1.1287458379578248</v>
      </c>
      <c r="F7" s="138"/>
      <c r="G7" s="138"/>
      <c r="H7" s="226"/>
      <c r="L7" s="226"/>
    </row>
    <row r="8" spans="1:17" s="11" customFormat="1" ht="15">
      <c r="B8" s="179">
        <v>2004</v>
      </c>
      <c r="C8" s="230">
        <v>92</v>
      </c>
      <c r="D8"/>
      <c r="E8" s="135">
        <f t="shared" si="0"/>
        <v>1.1054347826086957</v>
      </c>
      <c r="F8" s="138"/>
      <c r="G8" s="138"/>
      <c r="H8"/>
      <c r="L8"/>
      <c r="N8" s="138"/>
      <c r="O8" s="138"/>
      <c r="P8" s="138"/>
      <c r="Q8" s="138"/>
    </row>
    <row r="9" spans="1:17" s="11" customFormat="1" ht="15">
      <c r="B9" s="179">
        <v>2005</v>
      </c>
      <c r="C9" s="230">
        <v>94.3</v>
      </c>
      <c r="D9"/>
      <c r="E9" s="135">
        <f t="shared" si="0"/>
        <v>1.07847295864263</v>
      </c>
      <c r="F9" s="138"/>
      <c r="G9" s="138"/>
      <c r="H9"/>
      <c r="L9"/>
    </row>
    <row r="10" spans="1:17" s="11" customFormat="1" ht="15">
      <c r="B10" s="179">
        <v>2006</v>
      </c>
      <c r="C10" s="230">
        <v>98</v>
      </c>
      <c r="D10"/>
      <c r="E10" s="135">
        <f t="shared" si="0"/>
        <v>1.0377551020408164</v>
      </c>
      <c r="F10" s="138"/>
      <c r="G10" s="138"/>
      <c r="H10"/>
      <c r="L10"/>
    </row>
    <row r="11" spans="1:17" s="11" customFormat="1" ht="15">
      <c r="B11" s="179">
        <v>2007</v>
      </c>
      <c r="C11" s="230">
        <v>102.8</v>
      </c>
      <c r="D11"/>
      <c r="E11" s="135">
        <f t="shared" si="0"/>
        <v>0.98929961089494167</v>
      </c>
      <c r="F11" s="138"/>
      <c r="G11" s="138"/>
      <c r="H11"/>
      <c r="I11" s="138"/>
      <c r="L11"/>
    </row>
    <row r="12" spans="1:17" s="11" customFormat="1" ht="15">
      <c r="B12" s="179">
        <v>2008</v>
      </c>
      <c r="C12" s="230">
        <v>107</v>
      </c>
      <c r="D12"/>
      <c r="E12" s="135">
        <f t="shared" si="0"/>
        <v>0.95046728971962624</v>
      </c>
      <c r="F12" s="138"/>
      <c r="G12" s="138"/>
      <c r="H12"/>
      <c r="I12" s="138"/>
      <c r="L12"/>
    </row>
    <row r="13" spans="1:17" s="11" customFormat="1" ht="15">
      <c r="B13" s="179">
        <v>2009</v>
      </c>
      <c r="C13" s="230">
        <v>102.2</v>
      </c>
      <c r="D13"/>
      <c r="E13" s="135">
        <f t="shared" si="0"/>
        <v>0.99510763209393349</v>
      </c>
      <c r="F13" s="138"/>
      <c r="G13" s="138"/>
      <c r="H13"/>
      <c r="I13" s="138"/>
      <c r="L13"/>
    </row>
    <row r="14" spans="1:17" s="11" customFormat="1" ht="15">
      <c r="B14" s="179">
        <v>2010</v>
      </c>
      <c r="C14" s="230">
        <v>101.2</v>
      </c>
      <c r="D14" s="231"/>
      <c r="E14" s="135">
        <f t="shared" si="0"/>
        <v>1.0049407114624507</v>
      </c>
      <c r="F14" s="138"/>
      <c r="G14" s="138"/>
      <c r="H14"/>
      <c r="I14" s="138"/>
      <c r="L14"/>
    </row>
    <row r="15" spans="1:17" s="11" customFormat="1" ht="15">
      <c r="B15" s="105">
        <v>2011</v>
      </c>
      <c r="C15" s="232">
        <f>C14*(1+D15)</f>
        <v>102.212</v>
      </c>
      <c r="D15" s="176">
        <v>0.01</v>
      </c>
      <c r="E15" s="135">
        <f t="shared" si="0"/>
        <v>0.99499080342816892</v>
      </c>
      <c r="F15" s="138"/>
      <c r="G15" s="138"/>
      <c r="H15"/>
      <c r="L15"/>
    </row>
    <row r="16" spans="1:17" s="11" customFormat="1" ht="15">
      <c r="B16" s="105">
        <v>2012</v>
      </c>
      <c r="C16" s="232">
        <f>C15*(1+D16)</f>
        <v>103.74517999999999</v>
      </c>
      <c r="D16" s="176">
        <v>1.4999999999999999E-2</v>
      </c>
      <c r="E16" s="135">
        <f t="shared" si="0"/>
        <v>0.98028650584056065</v>
      </c>
      <c r="F16" s="138"/>
      <c r="G16" s="138"/>
      <c r="H16"/>
      <c r="L16"/>
    </row>
    <row r="17" spans="2:12" s="11" customFormat="1" ht="15">
      <c r="B17" s="105">
        <v>2013</v>
      </c>
      <c r="C17" s="232">
        <f>C16*(1+D17)</f>
        <v>105.82008359999999</v>
      </c>
      <c r="D17" s="176">
        <v>0.02</v>
      </c>
      <c r="E17" s="135">
        <f t="shared" si="0"/>
        <v>0.96106520180447119</v>
      </c>
      <c r="F17" s="138"/>
      <c r="G17" s="138"/>
      <c r="H17"/>
      <c r="L17"/>
    </row>
    <row r="18" spans="2:12" s="11" customFormat="1" ht="15">
      <c r="B18" s="105">
        <v>2014</v>
      </c>
      <c r="C18" s="232">
        <f>C17*(1+D18)</f>
        <v>107.93648527199998</v>
      </c>
      <c r="D18" s="176">
        <v>0.02</v>
      </c>
      <c r="E18" s="135">
        <f t="shared" si="0"/>
        <v>0.9422207860828149</v>
      </c>
      <c r="F18" s="138"/>
      <c r="G18" s="138"/>
      <c r="H18"/>
      <c r="L18"/>
    </row>
    <row r="19" spans="2:12" s="11" customFormat="1" ht="15">
      <c r="B19" s="105">
        <v>2015</v>
      </c>
      <c r="C19" s="232">
        <f>C18*(1+D19)</f>
        <v>110.09521497743998</v>
      </c>
      <c r="D19" s="176">
        <v>0.02</v>
      </c>
      <c r="E19" s="135">
        <f t="shared" si="0"/>
        <v>0.92374586870864217</v>
      </c>
      <c r="F19" s="138"/>
      <c r="G19" s="138"/>
      <c r="H19"/>
      <c r="L19"/>
    </row>
    <row r="20" spans="2:12" s="11" customFormat="1" ht="15">
      <c r="B20" s="105"/>
      <c r="C20" s="234"/>
      <c r="D20" s="234"/>
      <c r="E20" s="138"/>
      <c r="G20" s="173"/>
      <c r="H20"/>
      <c r="L20"/>
    </row>
    <row r="21" spans="2:12" s="11" customFormat="1" ht="15">
      <c r="B21" s="105"/>
      <c r="D21" s="105"/>
      <c r="E21" s="138"/>
      <c r="G21" s="173"/>
      <c r="H21"/>
      <c r="L21"/>
    </row>
    <row r="22" spans="2:12" s="11" customFormat="1" ht="15">
      <c r="B22" s="233" t="s">
        <v>152</v>
      </c>
      <c r="D22" s="105"/>
      <c r="E22" s="138"/>
      <c r="G22" s="173"/>
      <c r="H22"/>
      <c r="L22"/>
    </row>
    <row r="23" spans="2:12" s="11" customFormat="1" ht="15">
      <c r="B23" t="s">
        <v>157</v>
      </c>
      <c r="D23" s="105"/>
      <c r="E23" s="138"/>
      <c r="G23" s="175"/>
      <c r="H23"/>
      <c r="L23"/>
    </row>
    <row r="24" spans="2:12" s="11" customFormat="1" ht="15">
      <c r="H24"/>
      <c r="L24"/>
    </row>
    <row r="25" spans="2:12" s="11" customFormat="1" ht="15">
      <c r="G25" s="173"/>
      <c r="H25"/>
      <c r="L25"/>
    </row>
    <row r="26" spans="2:12" s="11" customFormat="1" ht="15">
      <c r="B26" s="105"/>
      <c r="F26" s="16"/>
      <c r="H26"/>
      <c r="I26"/>
      <c r="J26"/>
      <c r="K26"/>
      <c r="L26"/>
    </row>
    <row r="27" spans="2:12" s="11" customFormat="1" ht="15">
      <c r="B27" s="14"/>
      <c r="C27" s="14"/>
      <c r="D27" s="16"/>
      <c r="E27" s="16"/>
      <c r="F27" s="14"/>
    </row>
    <row r="28" spans="2:12" s="11" customFormat="1" ht="15">
      <c r="B28" s="14"/>
      <c r="C28" s="14"/>
      <c r="D28" s="14"/>
      <c r="E28" s="17"/>
      <c r="F28" s="117"/>
      <c r="G28" s="117"/>
      <c r="H28" s="117"/>
      <c r="I28" s="117"/>
      <c r="J28" s="117"/>
      <c r="K28" s="117"/>
    </row>
    <row r="29" spans="2:12" s="11" customFormat="1" ht="15">
      <c r="B29" s="14"/>
      <c r="C29" s="159"/>
      <c r="D29" s="117"/>
      <c r="E29" s="117"/>
      <c r="F29" s="118"/>
      <c r="G29" s="117"/>
      <c r="H29" s="117"/>
      <c r="I29" s="117"/>
      <c r="J29" s="117"/>
      <c r="K29" s="117"/>
    </row>
    <row r="30" spans="2:12" s="11" customFormat="1" ht="15">
      <c r="C30"/>
      <c r="D30" s="160"/>
      <c r="E30" s="160"/>
      <c r="F30"/>
      <c r="G30"/>
    </row>
    <row r="31" spans="2:12" s="11" customFormat="1" ht="15">
      <c r="C31"/>
      <c r="D31" s="161"/>
      <c r="E31"/>
      <c r="F31"/>
      <c r="G31"/>
    </row>
    <row r="32" spans="2:12" s="11" customFormat="1" ht="15">
      <c r="C32"/>
      <c r="D32" s="160"/>
      <c r="E32"/>
      <c r="F32"/>
      <c r="G32"/>
    </row>
    <row r="33" spans="3:7" s="11" customFormat="1" ht="15">
      <c r="C33"/>
      <c r="D33" s="160"/>
      <c r="E33"/>
      <c r="F33"/>
      <c r="G33" s="162"/>
    </row>
    <row r="34" spans="3:7" s="11" customFormat="1" ht="15">
      <c r="C34"/>
      <c r="D34" s="161"/>
      <c r="E34"/>
      <c r="F34"/>
      <c r="G34"/>
    </row>
    <row r="35" spans="3:7" s="11" customFormat="1" ht="15">
      <c r="C35"/>
      <c r="D35"/>
      <c r="E35" s="5"/>
      <c r="F35"/>
      <c r="G35"/>
    </row>
    <row r="36" spans="3:7" s="11" customFormat="1" ht="15">
      <c r="C36" s="164"/>
      <c r="D36" s="163"/>
      <c r="E36"/>
      <c r="F36"/>
      <c r="G36"/>
    </row>
    <row r="37" spans="3:7" s="11" customFormat="1" ht="15">
      <c r="C37" s="164"/>
      <c r="D37"/>
      <c r="E37"/>
      <c r="F37"/>
      <c r="G37"/>
    </row>
    <row r="38" spans="3:7" s="11" customFormat="1" ht="15">
      <c r="C38"/>
      <c r="E38"/>
      <c r="F38"/>
      <c r="G38"/>
    </row>
    <row r="39" spans="3:7" s="11" customFormat="1" ht="15"/>
    <row r="40" spans="3:7" s="11" customFormat="1" ht="15"/>
    <row r="41" spans="3:7" s="11" customFormat="1" ht="15"/>
    <row r="42" spans="3:7" s="11" customFormat="1" ht="15"/>
    <row r="43" spans="3:7" s="11" customFormat="1" ht="15"/>
    <row r="44" spans="3:7" s="11" customFormat="1" ht="15"/>
    <row r="45" spans="3:7" s="11" customFormat="1" ht="15"/>
    <row r="46" spans="3:7" s="11" customFormat="1" ht="15"/>
    <row r="47" spans="3:7" s="11" customFormat="1" ht="15"/>
    <row r="48" spans="3:7" s="11" customFormat="1" ht="15"/>
    <row r="49" s="11" customFormat="1" ht="15"/>
    <row r="50" s="11" customFormat="1" ht="15"/>
    <row r="51" s="11" customFormat="1" ht="15"/>
    <row r="52" s="11" customFormat="1" ht="15"/>
    <row r="53" s="11" customFormat="1" ht="15"/>
    <row r="54" s="11" customFormat="1" ht="15"/>
    <row r="55" s="11" customFormat="1" ht="15"/>
    <row r="56" s="11" customFormat="1" ht="15"/>
    <row r="57" s="11" customFormat="1" ht="15"/>
    <row r="58" s="11" customFormat="1" ht="15"/>
    <row r="59" s="11" customFormat="1" ht="15"/>
    <row r="60" s="11" customFormat="1" ht="15"/>
    <row r="61" s="11" customFormat="1" ht="15"/>
    <row r="62" s="11" customFormat="1" ht="15"/>
    <row r="63" s="11" customFormat="1" ht="15"/>
    <row r="64" s="11" customFormat="1" ht="15"/>
    <row r="65" s="11" customFormat="1" ht="15"/>
    <row r="66" s="11" customFormat="1" ht="15"/>
    <row r="67" s="11" customFormat="1" ht="15"/>
    <row r="68" s="11" customFormat="1" ht="15"/>
    <row r="69" s="11" customFormat="1" ht="15"/>
    <row r="70" s="11" customFormat="1" ht="15"/>
    <row r="71" s="11" customFormat="1" ht="15"/>
    <row r="72" s="11" customFormat="1" ht="15"/>
    <row r="73" s="11" customFormat="1" ht="15"/>
    <row r="74" s="11" customFormat="1" ht="15"/>
    <row r="75" s="11" customFormat="1" ht="15"/>
    <row r="76" s="11" customFormat="1" ht="15"/>
    <row r="77" s="11" customFormat="1" ht="15"/>
    <row r="78" s="11" customFormat="1" ht="15"/>
    <row r="79" s="11" customFormat="1" ht="15"/>
    <row r="80" s="11" customFormat="1" ht="15"/>
    <row r="81" s="11" customFormat="1" ht="15"/>
    <row r="82" s="11" customFormat="1" ht="15"/>
    <row r="83" s="11" customFormat="1" ht="15"/>
    <row r="84" s="11" customFormat="1" ht="15"/>
    <row r="85" s="11" customFormat="1" ht="15"/>
    <row r="86" s="11" customFormat="1" ht="15"/>
    <row r="87" s="11" customFormat="1" ht="15"/>
    <row r="88" s="11" customFormat="1" ht="15"/>
    <row r="89" s="11" customFormat="1" ht="15"/>
    <row r="90" s="11" customFormat="1" ht="15"/>
    <row r="91" s="11" customFormat="1" ht="15"/>
    <row r="92" s="11" customFormat="1" ht="15"/>
    <row r="93" s="11" customFormat="1" ht="15"/>
    <row r="94" s="11" customFormat="1" ht="15"/>
    <row r="95" s="11" customFormat="1" ht="15"/>
    <row r="96" s="11" customFormat="1" ht="15"/>
    <row r="97" s="11" customFormat="1" ht="15"/>
    <row r="98" s="11" customFormat="1" ht="15"/>
    <row r="99" s="11" customFormat="1" ht="15"/>
    <row r="100" s="11" customFormat="1" ht="15"/>
    <row r="101" s="11" customFormat="1" ht="15"/>
    <row r="102" s="11" customFormat="1" ht="15"/>
    <row r="103" s="11" customFormat="1" ht="15"/>
    <row r="104" s="11" customFormat="1" ht="15"/>
    <row r="105" s="11" customFormat="1" ht="15"/>
    <row r="106" s="11" customFormat="1" ht="15"/>
    <row r="107" s="11" customFormat="1" ht="15"/>
    <row r="108" s="11" customFormat="1" ht="15"/>
    <row r="109" s="11" customFormat="1" ht="15"/>
    <row r="110" s="11" customFormat="1" ht="15"/>
    <row r="111" s="11" customFormat="1" ht="15"/>
    <row r="112" s="11" customFormat="1" ht="15"/>
    <row r="113" s="11" customFormat="1" ht="15"/>
    <row r="114" s="11" customFormat="1" ht="15"/>
    <row r="115" s="11" customFormat="1" ht="15"/>
    <row r="116" s="11" customFormat="1" ht="15"/>
    <row r="117" s="11" customFormat="1" ht="15"/>
    <row r="118" s="11" customFormat="1" ht="15"/>
    <row r="119" s="11" customFormat="1" ht="15"/>
    <row r="120" s="11" customFormat="1" ht="15"/>
    <row r="121" s="11" customFormat="1" ht="15"/>
    <row r="122" s="11" customFormat="1" ht="15"/>
    <row r="123" s="11" customFormat="1" ht="15"/>
    <row r="124" s="11" customFormat="1" ht="15"/>
    <row r="125" s="11" customFormat="1" ht="15"/>
    <row r="126" s="11" customFormat="1" ht="15"/>
    <row r="127" s="11" customFormat="1" ht="15"/>
    <row r="128" s="11" customFormat="1" ht="15"/>
    <row r="129" s="11" customFormat="1" ht="15"/>
    <row r="130" s="11" customFormat="1" ht="15"/>
    <row r="131" s="11" customFormat="1" ht="15"/>
    <row r="132" s="11" customFormat="1" ht="15"/>
    <row r="133" s="11" customFormat="1" ht="15"/>
    <row r="134" s="11" customFormat="1" ht="15"/>
    <row r="135" s="11" customFormat="1" ht="15"/>
    <row r="136" s="11" customFormat="1" ht="15"/>
    <row r="137" s="11" customFormat="1" ht="15"/>
    <row r="138" s="11" customFormat="1" ht="15"/>
    <row r="139" s="11" customFormat="1" ht="15"/>
    <row r="140" s="11" customFormat="1" ht="15"/>
    <row r="141" s="11" customFormat="1" ht="15"/>
    <row r="142" s="11" customFormat="1" ht="15"/>
    <row r="143" s="11" customFormat="1" ht="15"/>
    <row r="144" s="11" customFormat="1" ht="15"/>
    <row r="145" s="11" customFormat="1" ht="15"/>
    <row r="146" s="11" customFormat="1" ht="15"/>
    <row r="147" s="11" customFormat="1" ht="15"/>
    <row r="148" s="11" customFormat="1" ht="15"/>
    <row r="149" s="11" customFormat="1" ht="15"/>
    <row r="150" s="11" customFormat="1" ht="15"/>
    <row r="151" s="11" customFormat="1" ht="15"/>
    <row r="152" s="11" customFormat="1" ht="15"/>
    <row r="153" s="11" customFormat="1" ht="15"/>
    <row r="154" s="11" customFormat="1" ht="15"/>
    <row r="155" s="11" customFormat="1" ht="15"/>
    <row r="156" s="11" customFormat="1" ht="15"/>
    <row r="157" s="11" customFormat="1" ht="15"/>
    <row r="158" s="11" customFormat="1" ht="15"/>
    <row r="159" s="11" customFormat="1" ht="15"/>
    <row r="160" s="11" customFormat="1" ht="15"/>
    <row r="161" s="11" customFormat="1" ht="15"/>
    <row r="162" s="11" customFormat="1" ht="15"/>
    <row r="163" s="11" customFormat="1" ht="15"/>
    <row r="164" s="11" customFormat="1" ht="15"/>
    <row r="165" s="11" customFormat="1" ht="15"/>
    <row r="166" s="11" customFormat="1" ht="15"/>
    <row r="167" s="11" customFormat="1" ht="15"/>
    <row r="168" s="11" customFormat="1" ht="15"/>
    <row r="169" s="11" customFormat="1" ht="15"/>
    <row r="170" s="11" customFormat="1" ht="15"/>
    <row r="171" s="11" customFormat="1" ht="15"/>
    <row r="172" s="11" customFormat="1" ht="15"/>
    <row r="173" s="11" customFormat="1" ht="15"/>
    <row r="174" s="11" customFormat="1" ht="15"/>
    <row r="175" s="11" customFormat="1" ht="15"/>
    <row r="176" s="11" customFormat="1" ht="15"/>
    <row r="177" s="11" customFormat="1" ht="15"/>
    <row r="178" s="11" customFormat="1" ht="15"/>
    <row r="179" s="11" customFormat="1" ht="15"/>
    <row r="180" s="11" customFormat="1" ht="15"/>
    <row r="181" s="11" customFormat="1" ht="15"/>
    <row r="182" s="11" customFormat="1" ht="15"/>
    <row r="183" s="11" customFormat="1" ht="15"/>
    <row r="184" s="11" customFormat="1" ht="15"/>
    <row r="185" s="11" customFormat="1" ht="15"/>
    <row r="186" s="11" customFormat="1" ht="15"/>
    <row r="187" s="11" customFormat="1" ht="15"/>
    <row r="188" s="11" customFormat="1" ht="15"/>
    <row r="189" s="11" customFormat="1" ht="15"/>
    <row r="190" s="11" customFormat="1" ht="15"/>
    <row r="191" s="11" customFormat="1" ht="15"/>
    <row r="192" s="11" customFormat="1" ht="15"/>
    <row r="193" s="11" customFormat="1" ht="15"/>
    <row r="194" s="11" customFormat="1" ht="15"/>
    <row r="195" s="11" customFormat="1" ht="15"/>
    <row r="196" s="11" customFormat="1" ht="15"/>
    <row r="197" s="11" customFormat="1" ht="15"/>
    <row r="198" s="11" customFormat="1" ht="15"/>
    <row r="199" s="11" customFormat="1" ht="15"/>
    <row r="200" s="11" customFormat="1" ht="15"/>
    <row r="201" s="11" customFormat="1" ht="15"/>
    <row r="202" s="11" customFormat="1" ht="15"/>
    <row r="203" s="11" customFormat="1" ht="15"/>
    <row r="204" s="11" customFormat="1" ht="15"/>
    <row r="205" s="11" customFormat="1" ht="15"/>
    <row r="206" s="11" customFormat="1" ht="15"/>
    <row r="207" s="11" customFormat="1" ht="15"/>
    <row r="208" s="11" customFormat="1" ht="15"/>
    <row r="209" s="11" customFormat="1" ht="15"/>
    <row r="210" s="11" customFormat="1" ht="15"/>
    <row r="211" s="11" customFormat="1" ht="15"/>
    <row r="212" s="11" customFormat="1" ht="15"/>
    <row r="213" s="11" customFormat="1" ht="15"/>
    <row r="214" s="11" customFormat="1" ht="15"/>
    <row r="215" s="11" customFormat="1" ht="15"/>
    <row r="216" s="11" customFormat="1" ht="15"/>
    <row r="217" s="11" customFormat="1" ht="15"/>
    <row r="218" s="11" customFormat="1" ht="15"/>
    <row r="219" s="11" customFormat="1" ht="15"/>
    <row r="220" s="11" customFormat="1" ht="15"/>
    <row r="221" s="11" customFormat="1" ht="15"/>
    <row r="222" s="11" customFormat="1" ht="15"/>
    <row r="223" s="11" customFormat="1" ht="15"/>
    <row r="224" s="11" customFormat="1" ht="15"/>
    <row r="225" s="11" customFormat="1" ht="15"/>
    <row r="226" s="11" customFormat="1" ht="15"/>
    <row r="227" s="11" customFormat="1" ht="15"/>
    <row r="228" s="11" customFormat="1" ht="15"/>
    <row r="229" s="11" customFormat="1" ht="15"/>
    <row r="230" s="11" customFormat="1" ht="15"/>
    <row r="231" s="11" customFormat="1" ht="15"/>
    <row r="232" s="11" customFormat="1" ht="15"/>
    <row r="233" s="11" customFormat="1" ht="15"/>
    <row r="234" s="11" customFormat="1" ht="15"/>
    <row r="235" s="11" customFormat="1" ht="15"/>
    <row r="236" s="11" customFormat="1" ht="15"/>
    <row r="237" s="11" customFormat="1" ht="15"/>
    <row r="238" s="11" customFormat="1" ht="15"/>
    <row r="239" s="11" customFormat="1" ht="15"/>
    <row r="240" s="11" customFormat="1" ht="15"/>
    <row r="241" s="11" customFormat="1" ht="15"/>
    <row r="242" s="11" customFormat="1" ht="15"/>
    <row r="243" s="11" customFormat="1" ht="15"/>
    <row r="244" s="11" customFormat="1" ht="15"/>
    <row r="245" s="11" customFormat="1" ht="15"/>
    <row r="246" s="11" customFormat="1" ht="15"/>
    <row r="247" s="11" customFormat="1" ht="15"/>
    <row r="248" s="11" customFormat="1" ht="15"/>
    <row r="249" s="11" customFormat="1" ht="15"/>
    <row r="250" s="11" customFormat="1" ht="15"/>
    <row r="251" s="11" customFormat="1" ht="15"/>
    <row r="252" s="11" customFormat="1" ht="15"/>
    <row r="253" s="11" customFormat="1" ht="15"/>
    <row r="254" s="11" customFormat="1" ht="15"/>
    <row r="255" s="11" customFormat="1" ht="15"/>
    <row r="256" s="11" customFormat="1" ht="15"/>
    <row r="257" s="11" customFormat="1" ht="15"/>
    <row r="258" s="11" customFormat="1" ht="15"/>
    <row r="259" s="11" customFormat="1" ht="15"/>
    <row r="260" s="11" customFormat="1" ht="15"/>
    <row r="261" s="11" customFormat="1" ht="15"/>
    <row r="262" s="11" customFormat="1" ht="15"/>
    <row r="263" s="11" customFormat="1" ht="15"/>
    <row r="264" s="11" customFormat="1" ht="15"/>
    <row r="265" s="11" customFormat="1" ht="15"/>
    <row r="266" s="11" customFormat="1" ht="15"/>
    <row r="267" s="11" customFormat="1" ht="15"/>
    <row r="268" s="11" customFormat="1" ht="15"/>
    <row r="269" s="11" customFormat="1" ht="15"/>
    <row r="270" s="11" customFormat="1" ht="15"/>
    <row r="271" s="11" customFormat="1" ht="15"/>
    <row r="272" s="11" customFormat="1" ht="15"/>
    <row r="273" s="11" customFormat="1" ht="15"/>
    <row r="274" s="11" customFormat="1" ht="15"/>
    <row r="275" s="11" customFormat="1" ht="15"/>
    <row r="276" s="11" customFormat="1" ht="15"/>
    <row r="277" s="11" customFormat="1" ht="15"/>
    <row r="278" s="11" customFormat="1" ht="15"/>
    <row r="279" s="11" customFormat="1" ht="15"/>
    <row r="280" s="11" customFormat="1" ht="15"/>
    <row r="281" s="11" customFormat="1" ht="15"/>
    <row r="282" s="11" customFormat="1" ht="15"/>
    <row r="283" s="11" customFormat="1" ht="15"/>
    <row r="284" s="11" customFormat="1" ht="15"/>
    <row r="285" s="11" customFormat="1" ht="15"/>
    <row r="286" s="11" customFormat="1" ht="15"/>
    <row r="287" s="11" customFormat="1" ht="15"/>
    <row r="288" s="11" customFormat="1" ht="15"/>
    <row r="289" s="11" customFormat="1" ht="15"/>
    <row r="290" s="11" customFormat="1" ht="15"/>
    <row r="291" s="11" customFormat="1" ht="15"/>
    <row r="292" s="11" customFormat="1" ht="15"/>
    <row r="293" s="11" customFormat="1" ht="15"/>
    <row r="294" s="11" customFormat="1" ht="15"/>
    <row r="295" s="11" customFormat="1" ht="15"/>
    <row r="296" s="11" customFormat="1" ht="15"/>
    <row r="297" s="11" customFormat="1" ht="15"/>
    <row r="298" s="11" customFormat="1" ht="15"/>
    <row r="299" s="11" customFormat="1" ht="15"/>
    <row r="300" s="11" customFormat="1" ht="15"/>
    <row r="301" s="11" customFormat="1" ht="15"/>
    <row r="302" s="11" customFormat="1" ht="15"/>
    <row r="303" s="11" customFormat="1" ht="15"/>
    <row r="304" s="11" customFormat="1" ht="15"/>
    <row r="305" s="11" customFormat="1" ht="15"/>
    <row r="306" s="11" customFormat="1" ht="15"/>
    <row r="307" s="11" customFormat="1" ht="15"/>
    <row r="308" s="11" customFormat="1" ht="15"/>
    <row r="309" s="11" customFormat="1" ht="15"/>
    <row r="310" s="11" customFormat="1" ht="15"/>
    <row r="311" s="11" customFormat="1" ht="15"/>
    <row r="312" s="11" customFormat="1" ht="15"/>
    <row r="313" s="11" customFormat="1" ht="15"/>
    <row r="314" s="11" customFormat="1" ht="15"/>
    <row r="315" s="11" customFormat="1" ht="15"/>
    <row r="316" s="11" customFormat="1" ht="15"/>
    <row r="317" s="11" customFormat="1" ht="15"/>
    <row r="318" s="11" customFormat="1" ht="15"/>
    <row r="319" s="11" customFormat="1" ht="15"/>
    <row r="320" s="11" customFormat="1" ht="15"/>
    <row r="321" s="11" customFormat="1" ht="15"/>
    <row r="322" s="11" customFormat="1" ht="15"/>
    <row r="323" s="11" customFormat="1" ht="15"/>
    <row r="324" s="11" customFormat="1" ht="15"/>
    <row r="325" s="11" customFormat="1" ht="15"/>
    <row r="326" s="11" customFormat="1" ht="15"/>
    <row r="327" s="11" customFormat="1" ht="15"/>
    <row r="328" s="11" customFormat="1" ht="15"/>
    <row r="329" s="11" customFormat="1" ht="15"/>
    <row r="330" s="11" customFormat="1" ht="15"/>
    <row r="331" s="11" customFormat="1" ht="15"/>
    <row r="332" s="11" customFormat="1" ht="15"/>
    <row r="333" s="11" customFormat="1" ht="15"/>
    <row r="334" s="11" customFormat="1" ht="15"/>
    <row r="335" s="11" customFormat="1" ht="15"/>
    <row r="336" s="11" customFormat="1" ht="15"/>
    <row r="337" s="11" customFormat="1" ht="15"/>
    <row r="338" s="11" customFormat="1" ht="15"/>
    <row r="339" s="11" customFormat="1" ht="15"/>
    <row r="340" s="11" customFormat="1" ht="15"/>
    <row r="341" s="11" customFormat="1" ht="15"/>
    <row r="342" s="11" customFormat="1" ht="15"/>
    <row r="343" s="11" customFormat="1" ht="15"/>
    <row r="344" s="11" customFormat="1" ht="15"/>
    <row r="345" s="11" customFormat="1" ht="15"/>
    <row r="346" s="11" customFormat="1" ht="15"/>
    <row r="347" s="11" customFormat="1" ht="15"/>
    <row r="348" s="11" customFormat="1" ht="15"/>
    <row r="349" s="11" customFormat="1" ht="15"/>
    <row r="350" s="11" customFormat="1" ht="15"/>
    <row r="351" s="11" customFormat="1" ht="15"/>
    <row r="352" s="11" customFormat="1" ht="15"/>
    <row r="353" s="11" customFormat="1" ht="15"/>
    <row r="354" s="11" customFormat="1" ht="15"/>
    <row r="355" s="11" customFormat="1" ht="15"/>
    <row r="356" s="11" customFormat="1" ht="15"/>
    <row r="357" s="11" customFormat="1" ht="15"/>
    <row r="358" s="11" customFormat="1" ht="15"/>
    <row r="359" s="11" customFormat="1" ht="15"/>
    <row r="360" s="11" customFormat="1" ht="15"/>
    <row r="361" s="11" customFormat="1" ht="15"/>
    <row r="362" s="11" customFormat="1" ht="15"/>
    <row r="363" s="11" customFormat="1" ht="15"/>
    <row r="364" s="11" customFormat="1" ht="15"/>
    <row r="365" s="11" customFormat="1" ht="15"/>
    <row r="366" s="11" customFormat="1" ht="15"/>
    <row r="367" s="11" customFormat="1" ht="15"/>
    <row r="368" s="11" customFormat="1" ht="15"/>
    <row r="369" s="11" customFormat="1" ht="15"/>
    <row r="370" s="11" customFormat="1" ht="15"/>
    <row r="371" s="11" customFormat="1" ht="15"/>
    <row r="372" s="11" customFormat="1" ht="15"/>
    <row r="373" s="11" customFormat="1" ht="15"/>
    <row r="374" s="11" customFormat="1" ht="15"/>
    <row r="375" s="11" customFormat="1" ht="15"/>
    <row r="376" s="11" customFormat="1" ht="15"/>
    <row r="377" s="11" customFormat="1" ht="15"/>
    <row r="378" s="11" customFormat="1" ht="15"/>
    <row r="379" s="11" customFormat="1" ht="15"/>
    <row r="380" s="11" customFormat="1" ht="15"/>
    <row r="381" s="11" customFormat="1" ht="15"/>
    <row r="382" s="11" customFormat="1" ht="15"/>
    <row r="383" s="11" customFormat="1" ht="15"/>
    <row r="384" s="11" customFormat="1" ht="15"/>
    <row r="385" s="11" customFormat="1" ht="15"/>
    <row r="386" s="11" customFormat="1" ht="15"/>
    <row r="387" s="11" customFormat="1" ht="15"/>
    <row r="388" s="11" customFormat="1" ht="15"/>
    <row r="389" s="11" customFormat="1" ht="15"/>
    <row r="390" s="11" customFormat="1" ht="15"/>
    <row r="391" s="11" customFormat="1" ht="15"/>
    <row r="392" s="11" customFormat="1" ht="15"/>
    <row r="393" s="11" customFormat="1" ht="15"/>
    <row r="394" s="11" customFormat="1" ht="15"/>
    <row r="395" s="11" customFormat="1" ht="15"/>
    <row r="396" s="11" customFormat="1" ht="15"/>
    <row r="397" s="11" customFormat="1" ht="15"/>
    <row r="398" s="11" customFormat="1" ht="15"/>
    <row r="399" s="11" customFormat="1" ht="15"/>
    <row r="400" s="11" customFormat="1" ht="15"/>
    <row r="401" s="11" customFormat="1" ht="15"/>
    <row r="402" s="11" customFormat="1" ht="15"/>
    <row r="403" s="11" customFormat="1" ht="15"/>
    <row r="404" s="11" customFormat="1" ht="15"/>
    <row r="405" s="11" customFormat="1" ht="15"/>
    <row r="406" s="11" customFormat="1" ht="15"/>
    <row r="407" s="11" customFormat="1" ht="15"/>
    <row r="408" s="11" customFormat="1" ht="15"/>
    <row r="409" s="11" customFormat="1" ht="15"/>
    <row r="410" s="11" customFormat="1" ht="15"/>
    <row r="411" s="11" customFormat="1" ht="15"/>
    <row r="412" s="11" customFormat="1" ht="15"/>
    <row r="413" s="11" customFormat="1" ht="15"/>
    <row r="414" s="11" customFormat="1" ht="15"/>
    <row r="415" s="11" customFormat="1" ht="15"/>
    <row r="416" s="11" customFormat="1" ht="15"/>
    <row r="417" spans="4:4" s="11" customFormat="1" ht="15"/>
    <row r="418" spans="4:4" s="11" customFormat="1" ht="15"/>
    <row r="419" spans="4:4" s="11" customFormat="1" ht="15"/>
    <row r="420" spans="4:4" s="11" customFormat="1" ht="15"/>
    <row r="421" spans="4:4" s="11" customFormat="1" ht="15"/>
    <row r="422" spans="4:4" s="11" customFormat="1" ht="15"/>
    <row r="423" spans="4:4" s="11" customFormat="1" ht="15"/>
    <row r="424" spans="4:4" s="11" customFormat="1" ht="15"/>
    <row r="425" spans="4:4" s="11" customFormat="1" ht="15">
      <c r="D425"/>
    </row>
  </sheetData>
  <mergeCells count="1">
    <mergeCell ref="G3:H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15:C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Notes</vt:lpstr>
      <vt:lpstr>Summary</vt:lpstr>
      <vt:lpstr>Traffic</vt:lpstr>
      <vt:lpstr>Opex</vt:lpstr>
      <vt:lpstr>Opening RAB</vt:lpstr>
      <vt:lpstr>Future capex and depreciation</vt:lpstr>
      <vt:lpstr>IAA submission</vt:lpstr>
      <vt:lpstr>CPI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2011-05-27T14:17:46Z</dcterms:created>
  <dcterms:modified xsi:type="dcterms:W3CDTF">2011-05-27T14:18:10Z</dcterms:modified>
</cp:coreProperties>
</file>