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aairl.sharepoint.com/sites/EconomicRegulation/Shared Documents/General/NSA/RP4/Re-Submission/Consultation/For publication/"/>
    </mc:Choice>
  </mc:AlternateContent>
  <xr:revisionPtr revIDLastSave="424" documentId="8_{CB4833B0-A332-4B50-9F20-26C6D8075860}" xr6:coauthVersionLast="47" xr6:coauthVersionMax="47" xr10:uidLastSave="{6EEF3C08-B54E-4A42-A33A-502F31381442}"/>
  <bookViews>
    <workbookView xWindow="-110" yWindow="-110" windowWidth="19420" windowHeight="10300" firstSheet="4" activeTab="4" xr2:uid="{00000000-000D-0000-FFFF-FFFF00000000}"/>
  </bookViews>
  <sheets>
    <sheet name="Front Sheet" sheetId="2" r:id="rId1"/>
    <sheet name="Model Checks" sheetId="12" r:id="rId2"/>
    <sheet name="Additional Incentive Schemes &gt;&gt;" sheetId="4" r:id="rId3"/>
    <sheet name="ATCO Incentive Scheme" sheetId="11" r:id="rId4"/>
    <sheet name="ATSEP Incentive Scheme" sheetId="13" r:id="rId5"/>
  </sheets>
  <definedNames>
    <definedName name="_GlobalCheck">'Model Checks'!$F$14</definedName>
    <definedName name="FileName">'Front Sheet'!$G$14</definedName>
    <definedName name="ProjectName">'Front Sheet'!$G$12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3" l="1"/>
  <c r="H35" i="13" s="1"/>
  <c r="H36" i="13" s="1"/>
  <c r="H37" i="13" s="1"/>
  <c r="I13" i="13"/>
  <c r="I35" i="13" s="1"/>
  <c r="I36" i="13" s="1"/>
  <c r="I37" i="13" s="1"/>
  <c r="J13" i="13"/>
  <c r="J35" i="13" s="1"/>
  <c r="J36" i="13" s="1"/>
  <c r="J37" i="13" s="1"/>
  <c r="K13" i="13"/>
  <c r="K15" i="13" s="1"/>
  <c r="G13" i="13"/>
  <c r="H25" i="13"/>
  <c r="I25" i="13"/>
  <c r="J25" i="13"/>
  <c r="K25" i="13"/>
  <c r="G25" i="13"/>
  <c r="H24" i="13"/>
  <c r="I24" i="13"/>
  <c r="J24" i="13"/>
  <c r="K24" i="13"/>
  <c r="G24" i="13"/>
  <c r="K34" i="13"/>
  <c r="J34" i="13"/>
  <c r="I34" i="13"/>
  <c r="H34" i="13"/>
  <c r="G34" i="13"/>
  <c r="D5" i="13"/>
  <c r="B7" i="13" s="1"/>
  <c r="D3" i="13"/>
  <c r="C1" i="13"/>
  <c r="K26" i="11"/>
  <c r="J26" i="11"/>
  <c r="I26" i="11"/>
  <c r="H26" i="11"/>
  <c r="G26" i="11"/>
  <c r="H51" i="11"/>
  <c r="I51" i="11"/>
  <c r="J51" i="11"/>
  <c r="K51" i="11"/>
  <c r="G51" i="11"/>
  <c r="K49" i="11"/>
  <c r="K50" i="11" s="1"/>
  <c r="J49" i="11"/>
  <c r="J50" i="11" s="1"/>
  <c r="I49" i="11"/>
  <c r="I50" i="11" s="1"/>
  <c r="H49" i="11"/>
  <c r="H50" i="11" s="1"/>
  <c r="G49" i="11"/>
  <c r="G50" i="11" s="1"/>
  <c r="K48" i="11"/>
  <c r="K56" i="11" s="1"/>
  <c r="J48" i="11"/>
  <c r="J56" i="11" s="1"/>
  <c r="I48" i="11"/>
  <c r="I56" i="11" s="1"/>
  <c r="H48" i="11"/>
  <c r="G48" i="11"/>
  <c r="H35" i="11"/>
  <c r="H36" i="11" s="1"/>
  <c r="H37" i="11" s="1"/>
  <c r="I35" i="11"/>
  <c r="I36" i="11" s="1"/>
  <c r="I37" i="11" s="1"/>
  <c r="J35" i="11"/>
  <c r="J36" i="11" s="1"/>
  <c r="J37" i="11" s="1"/>
  <c r="K35" i="11"/>
  <c r="K36" i="11" s="1"/>
  <c r="K37" i="11" s="1"/>
  <c r="G35" i="11"/>
  <c r="G36" i="11" s="1"/>
  <c r="G37" i="11" s="1"/>
  <c r="H34" i="11"/>
  <c r="I34" i="11"/>
  <c r="J34" i="11"/>
  <c r="K34" i="11"/>
  <c r="G34" i="11"/>
  <c r="K35" i="13" l="1"/>
  <c r="K36" i="13" s="1"/>
  <c r="K37" i="13" s="1"/>
  <c r="H15" i="13"/>
  <c r="I15" i="13"/>
  <c r="J15" i="13"/>
  <c r="K26" i="13"/>
  <c r="J26" i="13"/>
  <c r="I26" i="13"/>
  <c r="H26" i="13"/>
  <c r="G35" i="13"/>
  <c r="G36" i="13" s="1"/>
  <c r="G37" i="13" s="1"/>
  <c r="G39" i="13" s="1"/>
  <c r="G40" i="13" s="1"/>
  <c r="G42" i="13" s="1"/>
  <c r="G15" i="13"/>
  <c r="G26" i="13"/>
  <c r="H39" i="13"/>
  <c r="H40" i="13" s="1"/>
  <c r="H42" i="13" s="1"/>
  <c r="H49" i="13" s="1"/>
  <c r="I39" i="13"/>
  <c r="J39" i="13"/>
  <c r="K39" i="13"/>
  <c r="I40" i="13"/>
  <c r="I42" i="13" s="1"/>
  <c r="I49" i="13" s="1"/>
  <c r="J40" i="13"/>
  <c r="K40" i="13"/>
  <c r="J42" i="13"/>
  <c r="J49" i="13" s="1"/>
  <c r="K42" i="13"/>
  <c r="K49" i="13" s="1"/>
  <c r="H54" i="11"/>
  <c r="H56" i="11" s="1"/>
  <c r="K54" i="11"/>
  <c r="J54" i="11"/>
  <c r="I54" i="11"/>
  <c r="G53" i="11"/>
  <c r="G54" i="11" s="1"/>
  <c r="G56" i="11" s="1"/>
  <c r="H53" i="11"/>
  <c r="I53" i="11"/>
  <c r="J53" i="11"/>
  <c r="K53" i="11"/>
  <c r="J39" i="11"/>
  <c r="K40" i="11"/>
  <c r="J40" i="11"/>
  <c r="J42" i="11" s="1"/>
  <c r="J63" i="11" s="1"/>
  <c r="I39" i="11"/>
  <c r="I40" i="11" s="1"/>
  <c r="I42" i="11" s="1"/>
  <c r="I63" i="11" s="1"/>
  <c r="K42" i="11"/>
  <c r="K63" i="11" s="1"/>
  <c r="H39" i="11"/>
  <c r="H40" i="11" s="1"/>
  <c r="H42" i="11" s="1"/>
  <c r="H63" i="11" s="1"/>
  <c r="K39" i="11"/>
  <c r="G39" i="11"/>
  <c r="G40" i="11" s="1"/>
  <c r="G42" i="11" s="1"/>
  <c r="G63" i="11" s="1"/>
  <c r="G49" i="13" l="1"/>
  <c r="H15" i="11"/>
  <c r="I15" i="11"/>
  <c r="J15" i="11"/>
  <c r="K15" i="11"/>
  <c r="G15" i="11"/>
  <c r="C1" i="11" l="1"/>
  <c r="C1" i="4"/>
  <c r="C1" i="2"/>
  <c r="C1" i="12"/>
  <c r="F10" i="12"/>
  <c r="D5" i="11" l="1"/>
  <c r="D3" i="11"/>
  <c r="B3" i="4"/>
  <c r="D12" i="12" s="1"/>
  <c r="D5" i="12"/>
  <c r="D3" i="12"/>
  <c r="M14" i="2"/>
  <c r="L14" i="2"/>
  <c r="K14" i="2"/>
  <c r="J14" i="2"/>
  <c r="I14" i="2"/>
  <c r="H14" i="2"/>
  <c r="G14" i="2"/>
  <c r="D4" i="13" s="1"/>
  <c r="D5" i="2"/>
  <c r="D3" i="2"/>
  <c r="F11" i="12"/>
  <c r="F12" i="12"/>
  <c r="B7" i="11" l="1"/>
  <c r="D13" i="12"/>
  <c r="D4" i="11"/>
  <c r="D4" i="12"/>
  <c r="D4" i="2"/>
  <c r="F13" i="12"/>
  <c r="F14" i="12" l="1"/>
  <c r="B1" i="12" l="1"/>
  <c r="B1" i="13"/>
  <c r="B1" i="11"/>
  <c r="B1" i="2"/>
  <c r="B1" i="4"/>
</calcChain>
</file>

<file path=xl/sharedStrings.xml><?xml version="1.0" encoding="utf-8"?>
<sst xmlns="http://schemas.openxmlformats.org/spreadsheetml/2006/main" count="255" uniqueCount="80">
  <si>
    <t>Front Sheet</t>
  </si>
  <si>
    <t>Project Details</t>
  </si>
  <si>
    <t>Project Name</t>
  </si>
  <si>
    <t>RP4 Additional capacity targets and incentives</t>
  </si>
  <si>
    <t>File Name</t>
  </si>
  <si>
    <t>Project Summary</t>
  </si>
  <si>
    <t>Version Control</t>
  </si>
  <si>
    <t>Date</t>
  </si>
  <si>
    <t>Version</t>
  </si>
  <si>
    <t>Comments</t>
  </si>
  <si>
    <t>Key</t>
  </si>
  <si>
    <t>A - Heading 1</t>
  </si>
  <si>
    <t>Heading Field</t>
  </si>
  <si>
    <t>A - Heading 2</t>
  </si>
  <si>
    <t>Subheading Field</t>
  </si>
  <si>
    <t>A - Heading 3</t>
  </si>
  <si>
    <t>B1 - Endogenous Input</t>
  </si>
  <si>
    <t>Formatting for cells containing inputs</t>
  </si>
  <si>
    <t>B2 - Calculation</t>
  </si>
  <si>
    <t>Formatting for cells where calculations are undertaken</t>
  </si>
  <si>
    <t>B3 - Total</t>
  </si>
  <si>
    <t>Fomating for cells containing total values</t>
  </si>
  <si>
    <t>D - Comment</t>
  </si>
  <si>
    <t>Field for user notes or commentary around data (e.g Source, Price Base Year etc.)</t>
  </si>
  <si>
    <t>E - Units / Lookups</t>
  </si>
  <si>
    <t>Describes units (e.g Millions, Thousands, M2, Mppa etc.)</t>
  </si>
  <si>
    <t>END</t>
  </si>
  <si>
    <t>Model Checks</t>
  </si>
  <si>
    <t>Sheet</t>
  </si>
  <si>
    <t>Description</t>
  </si>
  <si>
    <t>Error checks</t>
  </si>
  <si>
    <t>Global check</t>
  </si>
  <si>
    <t>Line Item</t>
  </si>
  <si>
    <t>Units</t>
  </si>
  <si>
    <t xml:space="preserve">Price Base </t>
  </si>
  <si>
    <t>Source</t>
  </si>
  <si>
    <t>Determined Costs</t>
  </si>
  <si>
    <t>AirNav ENR Determined Costs</t>
  </si>
  <si>
    <t>€'000</t>
  </si>
  <si>
    <t>Nominal</t>
  </si>
  <si>
    <t>IAA</t>
  </si>
  <si>
    <t>Determined Costs of Measure 1 (new ATCOs)</t>
  </si>
  <si>
    <t>Proportion</t>
  </si>
  <si>
    <t>%</t>
  </si>
  <si>
    <t>N/A</t>
  </si>
  <si>
    <t>ATCOS</t>
  </si>
  <si>
    <t>Target ATCOs</t>
  </si>
  <si>
    <t>Headcount</t>
  </si>
  <si>
    <t>Normalised incremental ATCOs (based on Measure 1)</t>
  </si>
  <si>
    <t>Actual Performance</t>
  </si>
  <si>
    <t>Traffic</t>
  </si>
  <si>
    <t>Forecast Traffic</t>
  </si>
  <si>
    <t>Service Unit '000</t>
  </si>
  <si>
    <t>STATFOR</t>
  </si>
  <si>
    <t>Actual Traffic</t>
  </si>
  <si>
    <t>Incentive Scheme</t>
  </si>
  <si>
    <t>Service Units no more than 5% below forecast</t>
  </si>
  <si>
    <t>Deadband</t>
  </si>
  <si>
    <t>Maximum penalty</t>
  </si>
  <si>
    <t>Minimum ATCOs required for no penalty</t>
  </si>
  <si>
    <t>Maximum penalty as % of Capacity Measure</t>
  </si>
  <si>
    <t>Minimum ATCOs required to avoid maximum penalty</t>
  </si>
  <si>
    <t>Based on Determined Costs</t>
  </si>
  <si>
    <t>ATCO Range</t>
  </si>
  <si>
    <t>Performance within range</t>
  </si>
  <si>
    <t>Penalty</t>
  </si>
  <si>
    <t>Service Units more than 5% but no more than 10% below forecast</t>
  </si>
  <si>
    <t>Based on net incremental ATCOs</t>
  </si>
  <si>
    <t>Service Units more than 10% below forecast</t>
  </si>
  <si>
    <t>No penalty</t>
  </si>
  <si>
    <t>Penalty Payable</t>
  </si>
  <si>
    <t>Determined Costs of Measure 2 (new ATSEPs)</t>
  </si>
  <si>
    <t>ATSEP</t>
  </si>
  <si>
    <t>Target ATSEPs</t>
  </si>
  <si>
    <t>Normalised incremental ATSEPs (based on Measure 2)</t>
  </si>
  <si>
    <t>Service Unit</t>
  </si>
  <si>
    <t>Service Units no more than 10% below forecast</t>
  </si>
  <si>
    <t>Minimum ATSEPs required for no penalty</t>
  </si>
  <si>
    <t>Minimum ATSEPs required to avoid maximum penalty</t>
  </si>
  <si>
    <t>ATSEP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</si>
</sst>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#.0,,"/>
    <numFmt numFmtId="167" formatCode="0.0%"/>
    <numFmt numFmtId="168" formatCode="#,##0.0"/>
  </numFmts>
  <fonts count="3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Frutiger LT 45 Light"/>
      <family val="2"/>
    </font>
    <font>
      <sz val="11"/>
      <color theme="1"/>
      <name val="Frutiger LT 45 Light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24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sz val="18"/>
      <color theme="1" tint="0.499984740745262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16"/>
      <color theme="0"/>
      <name val="Calibri"/>
      <family val="2"/>
    </font>
    <font>
      <sz val="11"/>
      <color theme="0"/>
      <name val="Arial"/>
      <family val="2"/>
    </font>
    <font>
      <b/>
      <sz val="11"/>
      <color rgb="FF0070C0"/>
      <name val="Calibri"/>
      <family val="2"/>
      <scheme val="minor"/>
    </font>
    <font>
      <b/>
      <sz val="18"/>
      <color rgb="FF002060"/>
      <name val="Arial"/>
      <family val="2"/>
    </font>
    <font>
      <i/>
      <sz val="11"/>
      <name val="Arial"/>
      <family val="2"/>
    </font>
    <font>
      <sz val="11"/>
      <color theme="6"/>
      <name val="Arial"/>
      <family val="2"/>
    </font>
    <font>
      <b/>
      <sz val="11"/>
      <name val="Calibri"/>
      <family val="2"/>
    </font>
    <font>
      <sz val="11"/>
      <color theme="6"/>
      <name val="Aptos Narrow"/>
      <family val="2"/>
    </font>
    <font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A5ACA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45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10"/>
    <xf numFmtId="0" fontId="29" fillId="36" borderId="0"/>
    <xf numFmtId="0" fontId="30" fillId="37" borderId="0"/>
    <xf numFmtId="0" fontId="22" fillId="34" borderId="10"/>
    <xf numFmtId="0" fontId="34" fillId="0" borderId="0">
      <alignment horizontal="center"/>
    </xf>
    <xf numFmtId="0" fontId="33" fillId="0" borderId="0"/>
    <xf numFmtId="3" fontId="23" fillId="0" borderId="12"/>
    <xf numFmtId="0" fontId="18" fillId="33" borderId="0"/>
    <xf numFmtId="10" fontId="20" fillId="0" borderId="0"/>
    <xf numFmtId="0" fontId="31" fillId="0" borderId="0"/>
    <xf numFmtId="3" fontId="20" fillId="39" borderId="11"/>
    <xf numFmtId="166" fontId="20" fillId="0" borderId="13"/>
    <xf numFmtId="0" fontId="35" fillId="0" borderId="14">
      <alignment vertical="center"/>
    </xf>
    <xf numFmtId="0" fontId="20" fillId="38" borderId="10"/>
  </cellStyleXfs>
  <cellXfs count="44">
    <xf numFmtId="0" fontId="0" fillId="0" borderId="0" xfId="0"/>
    <xf numFmtId="0" fontId="31" fillId="0" borderId="0" xfId="56"/>
    <xf numFmtId="166" fontId="0" fillId="0" borderId="13" xfId="0" applyNumberFormat="1" applyBorder="1"/>
    <xf numFmtId="3" fontId="23" fillId="0" borderId="12" xfId="53"/>
    <xf numFmtId="0" fontId="32" fillId="36" borderId="0" xfId="48" applyFont="1"/>
    <xf numFmtId="0" fontId="29" fillId="36" borderId="0" xfId="48"/>
    <xf numFmtId="0" fontId="30" fillId="37" borderId="0" xfId="49"/>
    <xf numFmtId="0" fontId="34" fillId="0" borderId="0" xfId="51">
      <alignment horizontal="center"/>
    </xf>
    <xf numFmtId="0" fontId="0" fillId="35" borderId="0" xfId="0" applyFill="1"/>
    <xf numFmtId="0" fontId="20" fillId="35" borderId="0" xfId="0" applyFont="1" applyFill="1"/>
    <xf numFmtId="0" fontId="21" fillId="37" borderId="0" xfId="49" applyFont="1"/>
    <xf numFmtId="0" fontId="33" fillId="0" borderId="0" xfId="52"/>
    <xf numFmtId="0" fontId="24" fillId="36" borderId="0" xfId="48" applyFont="1"/>
    <xf numFmtId="10" fontId="20" fillId="0" borderId="0" xfId="55"/>
    <xf numFmtId="0" fontId="26" fillId="35" borderId="0" xfId="0" applyFont="1" applyFill="1" applyAlignment="1">
      <alignment horizontal="left"/>
    </xf>
    <xf numFmtId="0" fontId="26" fillId="35" borderId="0" xfId="0" applyFont="1" applyFill="1"/>
    <xf numFmtId="3" fontId="20" fillId="39" borderId="11" xfId="57"/>
    <xf numFmtId="3" fontId="0" fillId="39" borderId="11" xfId="57" applyFont="1"/>
    <xf numFmtId="0" fontId="27" fillId="36" borderId="0" xfId="48" applyFont="1"/>
    <xf numFmtId="0" fontId="28" fillId="35" borderId="0" xfId="0" applyFont="1" applyFill="1"/>
    <xf numFmtId="0" fontId="31" fillId="0" borderId="0" xfId="0" applyFont="1"/>
    <xf numFmtId="14" fontId="23" fillId="0" borderId="12" xfId="53" applyNumberFormat="1"/>
    <xf numFmtId="0" fontId="35" fillId="0" borderId="14" xfId="59">
      <alignment vertical="center"/>
    </xf>
    <xf numFmtId="0" fontId="35" fillId="0" borderId="14" xfId="59" applyAlignment="1">
      <alignment horizontal="center" vertical="center"/>
    </xf>
    <xf numFmtId="0" fontId="0" fillId="0" borderId="0" xfId="0" applyAlignment="1">
      <alignment horizontal="center"/>
    </xf>
    <xf numFmtId="3" fontId="23" fillId="0" borderId="12" xfId="53" applyAlignment="1">
      <alignment horizontal="center"/>
    </xf>
    <xf numFmtId="0" fontId="36" fillId="0" borderId="0" xfId="51" applyFont="1">
      <alignment horizontal="center"/>
    </xf>
    <xf numFmtId="3" fontId="20" fillId="39" borderId="11" xfId="57" applyAlignment="1">
      <alignment horizontal="center"/>
    </xf>
    <xf numFmtId="10" fontId="23" fillId="0" borderId="12" xfId="53" applyNumberFormat="1" applyAlignment="1">
      <alignment horizontal="center"/>
    </xf>
    <xf numFmtId="0" fontId="31" fillId="0" borderId="0" xfId="56" applyAlignment="1">
      <alignment horizontal="center"/>
    </xf>
    <xf numFmtId="9" fontId="20" fillId="39" borderId="11" xfId="57" applyNumberFormat="1" applyAlignment="1">
      <alignment horizontal="center"/>
    </xf>
    <xf numFmtId="167" fontId="20" fillId="39" borderId="11" xfId="57" applyNumberFormat="1" applyAlignment="1">
      <alignment horizontal="center"/>
    </xf>
    <xf numFmtId="9" fontId="23" fillId="0" borderId="12" xfId="53" applyNumberFormat="1" applyAlignment="1">
      <alignment horizontal="center"/>
    </xf>
    <xf numFmtId="0" fontId="0" fillId="35" borderId="0" xfId="0" applyFill="1" applyAlignment="1">
      <alignment horizontal="center"/>
    </xf>
    <xf numFmtId="0" fontId="29" fillId="36" borderId="0" xfId="48" applyAlignment="1">
      <alignment horizontal="center"/>
    </xf>
    <xf numFmtId="0" fontId="30" fillId="37" borderId="0" xfId="49" applyAlignment="1">
      <alignment horizontal="center"/>
    </xf>
    <xf numFmtId="0" fontId="20" fillId="38" borderId="10" xfId="60"/>
    <xf numFmtId="168" fontId="23" fillId="0" borderId="12" xfId="53" applyNumberFormat="1"/>
    <xf numFmtId="0" fontId="33" fillId="0" borderId="0" xfId="52" applyAlignment="1">
      <alignment horizontal="left"/>
    </xf>
    <xf numFmtId="0" fontId="25" fillId="0" borderId="0" xfId="0" applyFont="1" applyAlignment="1">
      <alignment horizontal="right"/>
    </xf>
    <xf numFmtId="0" fontId="33" fillId="0" borderId="0" xfId="52" applyAlignment="1">
      <alignment horizontal="left" vertical="top"/>
    </xf>
    <xf numFmtId="3" fontId="23" fillId="0" borderId="12" xfId="53" applyAlignment="1"/>
    <xf numFmtId="0" fontId="31" fillId="0" borderId="0" xfId="56" applyAlignment="1"/>
    <xf numFmtId="0" fontId="30" fillId="37" borderId="0" xfId="49" applyAlignment="1"/>
  </cellXfs>
  <cellStyles count="61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.Heading1" xfId="48" xr:uid="{00000000-0005-0000-0000-000026000000}"/>
    <cellStyle name="A.Heading2" xfId="49" xr:uid="{00000000-0005-0000-0000-000036000000}"/>
    <cellStyle name="A.Heading3" xfId="56" xr:uid="{FD816834-262F-4B07-BC6C-B77BF622568E}"/>
    <cellStyle name="A2.Heading4" xfId="59" xr:uid="{A49CCB50-CC19-4D6C-A4DF-A6F8D598B9EB}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1.General" xfId="57" xr:uid="{89DF5F73-0964-46C5-A156-E8944A6B53F6}"/>
    <cellStyle name="B2.General" xfId="53" xr:uid="{00000000-0005-0000-0000-00001B000000}"/>
    <cellStyle name="B3.Total" xfId="58" xr:uid="{A06B18C4-827B-4B29-B604-72C6D6D5D189}"/>
    <cellStyle name="B4 - Alternative Inputs" xfId="60" xr:uid="{D9943BC3-A660-43D2-8BE7-1EFF1C6CDFFE}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D.Comment" xfId="52" xr:uid="{00000000-0005-0000-0000-00001F000000}"/>
    <cellStyle name="E.Units / Lookups" xfId="51" xr:uid="{00000000-0005-0000-0000-000023000000}"/>
    <cellStyle name="Explanatory Text" xfId="21" builtinId="53" hidden="1"/>
    <cellStyle name="Good" xfId="11" builtinId="26" hidden="1"/>
    <cellStyle name="Heading 1" xfId="7" builtinId="16" hidden="1"/>
    <cellStyle name="Heading 2" xfId="8" builtinId="17" hidden="1"/>
    <cellStyle name="Heading 3" xfId="9" builtinId="18" hidden="1"/>
    <cellStyle name="Heading 4" xfId="10" builtinId="19" hidden="1"/>
    <cellStyle name="Input" xfId="47" builtinId="20" hidden="1" customBuiltin="1"/>
    <cellStyle name="Input" xfId="54" builtinId="20" hidde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 cent" xfId="5" builtinId="5" hidden="1"/>
    <cellStyle name="Per cent" xfId="55" builtinId="5"/>
    <cellStyle name="Title" xfId="50" builtinId="15" hidden="1" customBuiltin="1"/>
    <cellStyle name="Title" xfId="6" builtinId="15" hidden="1"/>
    <cellStyle name="Total" xfId="22" builtinId="25" hidden="1"/>
    <cellStyle name="Warning Text" xfId="19" builtinId="11" hidden="1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245C"/>
      <color rgb="FF46216F"/>
      <color rgb="FFBBA9CF"/>
      <color rgb="FF6E757A"/>
      <color rgb="FFA5ACAF"/>
      <color rgb="FF7E5DA4"/>
      <color rgb="FF9F147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autoPageBreaks="0"/>
  </sheetPr>
  <dimension ref="A1:V204"/>
  <sheetViews>
    <sheetView showGridLines="0" topLeftCell="A9" zoomScale="85" zoomScaleNormal="85" workbookViewId="0">
      <selection activeCell="I31" sqref="I31:M31"/>
    </sheetView>
  </sheetViews>
  <sheetFormatPr defaultColWidth="0" defaultRowHeight="14.1" zeroHeight="1"/>
  <cols>
    <col min="1" max="1" width="2.25" customWidth="1"/>
    <col min="2" max="3" width="6.25" style="8" bestFit="1" customWidth="1"/>
    <col min="4" max="4" width="2.25" style="8" customWidth="1"/>
    <col min="5" max="5" width="23.125" style="8" customWidth="1"/>
    <col min="6" max="6" width="1.375" style="8" customWidth="1"/>
    <col min="7" max="7" width="11.125" style="8" customWidth="1"/>
    <col min="8" max="8" width="1.375" style="8" customWidth="1"/>
    <col min="9" max="12" width="13" style="8" customWidth="1"/>
    <col min="13" max="13" width="25.875" style="8" customWidth="1"/>
    <col min="14" max="14" width="2.875" style="8" customWidth="1"/>
    <col min="15" max="22" width="1.75" style="8" customWidth="1"/>
    <col min="23" max="16384" width="8" style="8" hidden="1"/>
  </cols>
  <sheetData>
    <row r="1" spans="1:13" ht="12.75" customHeight="1">
      <c r="B1" t="b">
        <f ca="1">_GlobalCheck</f>
        <v>1</v>
      </c>
      <c r="C1" t="b">
        <f>IF(COUNTIFS(A:A,FALSE)=0,TRUE,FALSE)</f>
        <v>1</v>
      </c>
    </row>
    <row r="2" spans="1:13" ht="5.0999999999999996" customHeight="1"/>
    <row r="3" spans="1:13" ht="18" customHeight="1">
      <c r="D3" s="14" t="str">
        <f>ProjectName</f>
        <v>RP4 Additional capacity targets and incentives</v>
      </c>
    </row>
    <row r="4" spans="1:13" ht="18" customHeight="1">
      <c r="D4" s="15" t="e">
        <f ca="1">FileName</f>
        <v>#VALUE!</v>
      </c>
    </row>
    <row r="5" spans="1:13" ht="18" customHeight="1">
      <c r="D5" s="15" t="e">
        <f ca="1">MID(CELL("filename",A1),FIND("]",CELL("filename",A1))+1,255)</f>
        <v>#VALUE!</v>
      </c>
    </row>
    <row r="6" spans="1:13" ht="5.0999999999999996" customHeight="1"/>
    <row r="7" spans="1:13" s="5" customFormat="1" ht="21">
      <c r="B7" s="5" t="s">
        <v>0</v>
      </c>
    </row>
    <row r="8" spans="1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6" customFormat="1" ht="18">
      <c r="A9"/>
      <c r="B9" s="10"/>
      <c r="C9" s="6" t="s">
        <v>1</v>
      </c>
      <c r="D9" s="10"/>
      <c r="F9" s="10"/>
      <c r="G9" s="10"/>
      <c r="H9" s="10"/>
      <c r="I9" s="10"/>
      <c r="J9" s="10"/>
      <c r="K9" s="10"/>
      <c r="L9" s="10"/>
    </row>
    <row r="10" spans="1:13" ht="8.4499999999999993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7.9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4.45">
      <c r="B12" s="9"/>
      <c r="C12" s="9"/>
      <c r="D12" s="9"/>
      <c r="E12" s="1" t="s">
        <v>2</v>
      </c>
      <c r="F12" s="9"/>
      <c r="G12" s="41" t="s">
        <v>3</v>
      </c>
      <c r="H12" s="41"/>
      <c r="I12" s="41"/>
      <c r="J12" s="41"/>
      <c r="K12" s="41"/>
      <c r="L12" s="41"/>
      <c r="M12" s="41"/>
    </row>
    <row r="13" spans="1:1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4.45">
      <c r="B14" s="9"/>
      <c r="C14" s="9"/>
      <c r="D14" s="9"/>
      <c r="E14" s="1" t="s">
        <v>4</v>
      </c>
      <c r="F14" s="9"/>
      <c r="G14" s="41" t="e">
        <f ca="1">MID(CELL("filename",A1),FIND("[",CELL("filename",A1))+1,FIND("]",CELL("filename",A1))-FIND("[",CELL("filename",A1))-1)</f>
        <v>#VALUE!</v>
      </c>
      <c r="H14" s="41" t="e">
        <f ca="1">MID(CELL("filename",#REF!),FIND("]",CELL("filename",#REF!))+1,255)</f>
        <v>#REF!</v>
      </c>
      <c r="I14" s="41" t="e">
        <f ca="1">MID(CELL("filename",A8),FIND("]",CELL("filename",A8))+1,255)</f>
        <v>#VALUE!</v>
      </c>
      <c r="J14" s="41" t="e">
        <f ca="1">MID(CELL("filename",B8),FIND("]",CELL("filename",B8))+1,255)</f>
        <v>#VALUE!</v>
      </c>
      <c r="K14" s="41" t="e">
        <f ca="1">MID(CELL("filename",C8),FIND("]",CELL("filename",C8))+1,255)</f>
        <v>#VALUE!</v>
      </c>
      <c r="L14" s="41" t="e">
        <f ca="1">MID(CELL("filename",D8),FIND("]",CELL("filename",D8))+1,255)</f>
        <v>#VALUE!</v>
      </c>
      <c r="M14" s="41" t="e">
        <f ca="1">MID(CELL("filename",E8),FIND("]",CELL("filename",E8))+1,255)</f>
        <v>#VALUE!</v>
      </c>
    </row>
    <row r="15" spans="1:1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4.45">
      <c r="B16" s="9"/>
      <c r="C16" s="9"/>
      <c r="D16" s="9"/>
      <c r="E16" s="1" t="s">
        <v>5</v>
      </c>
      <c r="F16" s="9"/>
      <c r="G16" s="41"/>
      <c r="H16" s="41"/>
      <c r="I16" s="41"/>
      <c r="J16" s="41"/>
      <c r="K16" s="41"/>
      <c r="L16" s="41"/>
      <c r="M16" s="41"/>
    </row>
    <row r="17" spans="1:13" ht="39.6" customHeight="1">
      <c r="B17" s="9"/>
      <c r="C17" s="9"/>
      <c r="D17" s="9"/>
      <c r="E17" s="9"/>
      <c r="F17" s="9"/>
      <c r="G17" s="41"/>
      <c r="H17" s="41"/>
      <c r="I17" s="41"/>
      <c r="J17" s="41"/>
      <c r="K17" s="41"/>
      <c r="L17" s="41"/>
      <c r="M17" s="41"/>
    </row>
    <row r="18" spans="1:1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s="6" customFormat="1">
      <c r="A19"/>
      <c r="C19" s="6" t="s">
        <v>6</v>
      </c>
    </row>
    <row r="20" spans="1:13" ht="9.6" customHeight="1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9.6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4.45">
      <c r="B22" s="9"/>
      <c r="C22" s="9"/>
      <c r="D22" s="9"/>
      <c r="E22" s="1" t="s">
        <v>7</v>
      </c>
      <c r="F22" s="9"/>
      <c r="G22" s="1" t="s">
        <v>8</v>
      </c>
      <c r="I22" s="42" t="s">
        <v>9</v>
      </c>
      <c r="J22" s="42"/>
      <c r="K22" s="42"/>
      <c r="L22" s="42"/>
      <c r="M22" s="42"/>
    </row>
    <row r="23" spans="1:13">
      <c r="B23" s="9"/>
      <c r="C23" s="9"/>
      <c r="D23" s="9"/>
      <c r="E23" s="21">
        <v>45838</v>
      </c>
      <c r="F23" s="9"/>
      <c r="G23" s="37">
        <v>1.1000000000000001</v>
      </c>
      <c r="I23" s="41"/>
      <c r="J23" s="41"/>
      <c r="K23" s="41"/>
      <c r="L23" s="41"/>
      <c r="M23" s="41"/>
    </row>
    <row r="24" spans="1:13">
      <c r="B24" s="9"/>
      <c r="C24" s="9"/>
      <c r="D24" s="9"/>
      <c r="E24" s="21"/>
      <c r="F24" s="9"/>
      <c r="G24" s="3"/>
      <c r="I24" s="41"/>
      <c r="J24" s="41"/>
      <c r="K24" s="41"/>
      <c r="L24" s="41"/>
      <c r="M24" s="41"/>
    </row>
    <row r="25" spans="1:13">
      <c r="B25" s="9"/>
      <c r="C25" s="9"/>
      <c r="D25" s="9"/>
      <c r="E25" s="21"/>
      <c r="F25" s="9"/>
      <c r="G25" s="3"/>
      <c r="I25" s="41"/>
      <c r="J25" s="41"/>
      <c r="K25" s="41"/>
      <c r="L25" s="41"/>
      <c r="M25" s="41"/>
    </row>
    <row r="26" spans="1:13">
      <c r="B26" s="9"/>
      <c r="C26" s="9"/>
      <c r="D26" s="9"/>
      <c r="E26" s="21"/>
      <c r="F26" s="9"/>
      <c r="G26" s="3"/>
      <c r="I26" s="41"/>
      <c r="J26" s="41"/>
      <c r="K26" s="41"/>
      <c r="L26" s="41"/>
      <c r="M26" s="41"/>
    </row>
    <row r="27" spans="1:13" ht="6" customHeight="1"/>
    <row r="28" spans="1:13" ht="6" customHeight="1"/>
    <row r="29" spans="1:13" s="6" customFormat="1">
      <c r="A29"/>
      <c r="C29" s="6" t="s">
        <v>10</v>
      </c>
      <c r="G29" s="43"/>
      <c r="H29" s="43"/>
      <c r="I29" s="43"/>
      <c r="J29" s="43"/>
      <c r="K29" s="43"/>
      <c r="L29" s="43"/>
      <c r="M29" s="43"/>
    </row>
    <row r="30" spans="1:13"/>
    <row r="31" spans="1:13" ht="21">
      <c r="E31" s="5" t="s">
        <v>11</v>
      </c>
      <c r="I31" s="40" t="s">
        <v>12</v>
      </c>
      <c r="J31" s="40"/>
      <c r="K31" s="40"/>
      <c r="L31" s="40"/>
      <c r="M31" s="40"/>
    </row>
    <row r="32" spans="1:13"/>
    <row r="33" spans="2:13" ht="14.45">
      <c r="E33" s="6" t="s">
        <v>13</v>
      </c>
      <c r="I33" s="38" t="s">
        <v>14</v>
      </c>
      <c r="J33" s="38"/>
      <c r="K33" s="38"/>
      <c r="L33" s="38"/>
      <c r="M33" s="38"/>
    </row>
    <row r="34" spans="2:13"/>
    <row r="35" spans="2:13" ht="14.45">
      <c r="C35" s="20"/>
      <c r="E35" s="1" t="s">
        <v>15</v>
      </c>
      <c r="I35" s="38" t="s">
        <v>14</v>
      </c>
      <c r="J35" s="38"/>
      <c r="K35" s="38"/>
      <c r="L35" s="38"/>
      <c r="M35" s="38"/>
    </row>
    <row r="36" spans="2:13"/>
    <row r="37" spans="2:13" ht="14.45">
      <c r="C37"/>
      <c r="E37" s="16" t="s">
        <v>16</v>
      </c>
      <c r="I37" s="38" t="s">
        <v>17</v>
      </c>
      <c r="J37" s="38"/>
      <c r="K37" s="38"/>
      <c r="L37" s="38"/>
      <c r="M37" s="38"/>
    </row>
    <row r="38" spans="2:13"/>
    <row r="39" spans="2:13" ht="14.45">
      <c r="E39" s="3" t="s">
        <v>18</v>
      </c>
      <c r="I39" s="38" t="s">
        <v>19</v>
      </c>
      <c r="J39" s="38"/>
      <c r="K39" s="38"/>
      <c r="L39" s="38"/>
      <c r="M39" s="38"/>
    </row>
    <row r="40" spans="2:13"/>
    <row r="41" spans="2:13" ht="15" thickBot="1">
      <c r="E41" s="2" t="s">
        <v>20</v>
      </c>
      <c r="I41" s="38" t="s">
        <v>21</v>
      </c>
      <c r="J41" s="38"/>
      <c r="K41" s="38"/>
      <c r="L41" s="38"/>
      <c r="M41" s="38"/>
    </row>
    <row r="42" spans="2:13" ht="14.45" thickTop="1"/>
    <row r="43" spans="2:13" ht="14.45">
      <c r="E43" s="11" t="s">
        <v>22</v>
      </c>
      <c r="I43" s="38" t="s">
        <v>23</v>
      </c>
      <c r="J43" s="38"/>
      <c r="K43" s="38"/>
      <c r="L43" s="38"/>
      <c r="M43" s="38"/>
    </row>
    <row r="44" spans="2:13"/>
    <row r="45" spans="2:13" ht="14.45">
      <c r="E45" s="7" t="s">
        <v>24</v>
      </c>
      <c r="I45" s="38" t="s">
        <v>25</v>
      </c>
      <c r="J45" s="38"/>
      <c r="K45" s="38"/>
      <c r="L45" s="38"/>
      <c r="M45" s="38"/>
    </row>
    <row r="46" spans="2:13"/>
    <row r="47" spans="2:13" s="5" customFormat="1" ht="21">
      <c r="B47" s="5" t="s">
        <v>26</v>
      </c>
    </row>
    <row r="48" spans="2:13"/>
    <row r="49"/>
    <row r="50"/>
    <row r="51"/>
    <row r="52"/>
    <row r="53"/>
    <row r="55"/>
    <row r="64"/>
    <row r="65" spans="13:22"/>
    <row r="66" spans="13:22"/>
    <row r="67" spans="13:22"/>
    <row r="69" spans="13:22"/>
    <row r="70" spans="13:22"/>
    <row r="71" spans="13:22"/>
    <row r="72" spans="13:22" ht="14.45">
      <c r="M72" s="39"/>
      <c r="N72" s="39"/>
      <c r="O72" s="39"/>
      <c r="P72" s="39"/>
      <c r="Q72" s="39"/>
      <c r="R72" s="39"/>
      <c r="S72" s="39"/>
      <c r="T72" s="39"/>
      <c r="U72" s="39"/>
      <c r="V72" s="39"/>
    </row>
    <row r="79" spans="13:22"/>
    <row r="88"/>
    <row r="117"/>
    <row r="118"/>
    <row r="119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</sheetData>
  <mergeCells count="18">
    <mergeCell ref="G12:M12"/>
    <mergeCell ref="G16:M17"/>
    <mergeCell ref="I33:M33"/>
    <mergeCell ref="I22:M22"/>
    <mergeCell ref="I24:M24"/>
    <mergeCell ref="I23:M23"/>
    <mergeCell ref="I25:M25"/>
    <mergeCell ref="I26:M26"/>
    <mergeCell ref="G29:M29"/>
    <mergeCell ref="I41:M41"/>
    <mergeCell ref="G14:M14"/>
    <mergeCell ref="I35:M35"/>
    <mergeCell ref="M72:V72"/>
    <mergeCell ref="I43:M43"/>
    <mergeCell ref="I45:M45"/>
    <mergeCell ref="I31:M31"/>
    <mergeCell ref="I37:M37"/>
    <mergeCell ref="I39:M39"/>
  </mergeCells>
  <conditionalFormatting sqref="A1:A6 A8:A46 A48:A1048576">
    <cfRule type="containsText" dxfId="17" priority="3" operator="containsText" text="true">
      <formula>NOT(ISERROR(SEARCH("true",A1)))</formula>
    </cfRule>
    <cfRule type="containsText" dxfId="16" priority="4" operator="containsText" text="false">
      <formula>NOT(ISERROR(SEARCH("false",A1)))</formula>
    </cfRule>
  </conditionalFormatting>
  <conditionalFormatting sqref="B1:C1">
    <cfRule type="containsText" dxfId="15" priority="1" operator="containsText" text="true">
      <formula>NOT(ISERROR(SEARCH("true",B1)))</formula>
    </cfRule>
    <cfRule type="containsText" dxfId="14" priority="2" operator="containsText" text="false">
      <formula>NOT(ISERROR(SEARCH("false",B1)))</formula>
    </cfRule>
  </conditionalFormatting>
  <dataValidations count="2">
    <dataValidation allowBlank="1" showInputMessage="1" showErrorMessage="1" prompt="Sheet check" sqref="C1:C6" xr:uid="{A51BEA43-D024-42C6-B19B-15220BFFD192}"/>
    <dataValidation allowBlank="1" showInputMessage="1" showErrorMessage="1" prompt="Global check" sqref="B1:B6" xr:uid="{29558C3C-BCE9-4CB8-B9E2-77DDA52CB2AD}"/>
  </dataValidations>
  <pageMargins left="0.7" right="0.7" top="0.75" bottom="0.75" header="0.3" footer="0.3"/>
  <pageSetup paperSize="9" orientation="portrait" r:id="rId1"/>
  <headerFooter>
    <oddHeader>&amp;C&amp;"Arial"&amp;10&amp;K000000Classification: 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64CE6-EFF4-4773-B151-C4A8FB4C6718}">
  <sheetPr>
    <tabColor rgb="FF0070C0"/>
  </sheetPr>
  <dimension ref="A1:AG30"/>
  <sheetViews>
    <sheetView showGridLines="0" zoomScale="80" zoomScaleNormal="80" workbookViewId="0">
      <selection activeCell="E21" sqref="E21"/>
    </sheetView>
  </sheetViews>
  <sheetFormatPr defaultColWidth="8.75" defaultRowHeight="14.1"/>
  <cols>
    <col min="1" max="1" width="3.25" customWidth="1"/>
    <col min="2" max="2" width="6.25" bestFit="1" customWidth="1"/>
    <col min="3" max="3" width="6.875" bestFit="1" customWidth="1"/>
    <col min="4" max="4" width="35.5" customWidth="1"/>
    <col min="5" max="5" width="44.625" customWidth="1"/>
    <col min="6" max="6" width="17.375" bestFit="1" customWidth="1"/>
  </cols>
  <sheetData>
    <row r="1" spans="1:11" s="8" customFormat="1" ht="12.75" customHeight="1">
      <c r="A1"/>
      <c r="B1" t="b">
        <f ca="1">_GlobalCheck</f>
        <v>1</v>
      </c>
      <c r="C1" t="b">
        <f>IF(COUNTIFS(A:A,FALSE)=0,TRUE,FALSE)</f>
        <v>1</v>
      </c>
    </row>
    <row r="2" spans="1:11" s="8" customFormat="1" ht="4.9000000000000004" customHeight="1">
      <c r="A2"/>
    </row>
    <row r="3" spans="1:11" s="8" customFormat="1" ht="18.600000000000001" customHeight="1">
      <c r="A3"/>
      <c r="D3" s="14" t="str">
        <f>ProjectName</f>
        <v>RP4 Additional capacity targets and incentives</v>
      </c>
    </row>
    <row r="4" spans="1:11" s="8" customFormat="1" ht="18.600000000000001" customHeight="1">
      <c r="A4"/>
      <c r="D4" s="15" t="e">
        <f ca="1">FileName</f>
        <v>#VALUE!</v>
      </c>
    </row>
    <row r="5" spans="1:11" s="8" customFormat="1" ht="18.600000000000001" customHeight="1">
      <c r="A5"/>
      <c r="D5" s="15" t="e">
        <f ca="1">MID(CELL("filename",A1),FIND("]",CELL("filename",A1))+1,255)</f>
        <v>#VALUE!</v>
      </c>
    </row>
    <row r="6" spans="1:11" s="8" customFormat="1" ht="4.9000000000000004" customHeight="1">
      <c r="A6"/>
    </row>
    <row r="7" spans="1:11" s="5" customFormat="1" ht="23.25" customHeight="1">
      <c r="B7" s="5" t="s">
        <v>27</v>
      </c>
    </row>
    <row r="9" spans="1:11" ht="14.45">
      <c r="D9" s="1" t="s">
        <v>28</v>
      </c>
      <c r="E9" s="1" t="s">
        <v>29</v>
      </c>
      <c r="F9" s="1" t="s">
        <v>30</v>
      </c>
    </row>
    <row r="10" spans="1:11">
      <c r="D10" s="17" t="s">
        <v>0</v>
      </c>
      <c r="E10" s="16"/>
      <c r="F10" t="b">
        <f ca="1">INDIRECT("'"&amp;D10&amp;"'!C1")</f>
        <v>1</v>
      </c>
      <c r="K10" s="13"/>
    </row>
    <row r="11" spans="1:11">
      <c r="D11" s="17" t="s">
        <v>27</v>
      </c>
      <c r="E11" s="16"/>
      <c r="F11" t="b">
        <f ca="1">INDIRECT("'"&amp;D11&amp;"'!C1")</f>
        <v>1</v>
      </c>
    </row>
    <row r="12" spans="1:11">
      <c r="D12" s="17" t="e">
        <f ca="1">'Additional Incentive Schemes &gt;&gt;'!B3</f>
        <v>#VALUE!</v>
      </c>
      <c r="E12" s="16"/>
      <c r="F12" t="e">
        <f ca="1">INDIRECT("'"&amp;D12&amp;"'!C1")</f>
        <v>#VALUE!</v>
      </c>
    </row>
    <row r="13" spans="1:11">
      <c r="D13" s="17" t="e">
        <f ca="1">'ATCO Incentive Scheme'!D5</f>
        <v>#VALUE!</v>
      </c>
      <c r="E13" s="16"/>
      <c r="F13" t="e">
        <f ca="1">INDIRECT("'"&amp;D13&amp;"'!C1")</f>
        <v>#VALUE!</v>
      </c>
    </row>
    <row r="14" spans="1:11" ht="14.45">
      <c r="D14" s="11" t="s">
        <v>31</v>
      </c>
      <c r="F14" t="b">
        <f ca="1">IF(COUNTIFS(F10:F13,FALSE)=0,TRUE,FALSE)</f>
        <v>1</v>
      </c>
    </row>
    <row r="30" spans="1:33" ht="21">
      <c r="A30" s="5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</sheetData>
  <conditionalFormatting sqref="A1:A6 A8:A29 A31:A1048576">
    <cfRule type="containsText" dxfId="13" priority="1" operator="containsText" text="true">
      <formula>NOT(ISERROR(SEARCH("true",A1)))</formula>
    </cfRule>
    <cfRule type="containsText" dxfId="12" priority="2" operator="containsText" text="false">
      <formula>NOT(ISERROR(SEARCH("false",A1)))</formula>
    </cfRule>
  </conditionalFormatting>
  <conditionalFormatting sqref="B1:C1">
    <cfRule type="containsText" dxfId="11" priority="7" operator="containsText" text="true">
      <formula>NOT(ISERROR(SEARCH("true",B1)))</formula>
    </cfRule>
    <cfRule type="containsText" dxfId="10" priority="8" operator="containsText" text="false">
      <formula>NOT(ISERROR(SEARCH("false",B1)))</formula>
    </cfRule>
  </conditionalFormatting>
  <conditionalFormatting sqref="F10:F14">
    <cfRule type="containsText" dxfId="9" priority="5" operator="containsText" text="true">
      <formula>NOT(ISERROR(SEARCH("true",F10)))</formula>
    </cfRule>
    <cfRule type="containsText" dxfId="8" priority="6" operator="containsText" text="false">
      <formula>NOT(ISERROR(SEARCH("false",F10)))</formula>
    </cfRule>
  </conditionalFormatting>
  <dataValidations count="2">
    <dataValidation allowBlank="1" showInputMessage="1" showErrorMessage="1" prompt="Global check" sqref="B1" xr:uid="{8E6D3BA8-B88F-4C2B-87AB-AFCB4F8E75E8}"/>
    <dataValidation allowBlank="1" showInputMessage="1" showErrorMessage="1" prompt="Sheet check" sqref="C1" xr:uid="{590C4730-2D93-4EA9-9E24-9EE68E82B23D}"/>
  </dataValidations>
  <pageMargins left="0.7" right="0.7" top="0.75" bottom="0.75" header="0.3" footer="0.3"/>
  <pageSetup paperSize="9" orientation="portrait" r:id="rId1"/>
  <headerFooter>
    <oddHeader>&amp;C&amp;"Arial"&amp;10&amp;K000000Classification: 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J23"/>
  <sheetViews>
    <sheetView workbookViewId="0">
      <selection activeCell="E1" sqref="E1"/>
    </sheetView>
  </sheetViews>
  <sheetFormatPr defaultColWidth="0" defaultRowHeight="21" zeroHeight="1"/>
  <cols>
    <col min="1" max="1" width="10.375" style="5" customWidth="1"/>
    <col min="2" max="2" width="13.875" style="5" customWidth="1"/>
    <col min="3" max="10" width="10.375" style="5" customWidth="1"/>
    <col min="11" max="16384" width="8" style="5" hidden="1"/>
  </cols>
  <sheetData>
    <row r="1" spans="1:10" s="19" customFormat="1" ht="23.1">
      <c r="A1" s="18"/>
      <c r="B1" s="4" t="b">
        <f ca="1">_GlobalCheck</f>
        <v>1</v>
      </c>
      <c r="C1" s="4" t="b">
        <f>IF(COUNTIFS(A:A,FALSE)=0,TRUE,FALSE)</f>
        <v>1</v>
      </c>
      <c r="D1" s="18"/>
      <c r="E1" s="18"/>
      <c r="F1" s="18"/>
      <c r="G1" s="18"/>
      <c r="H1" s="18"/>
      <c r="I1" s="18"/>
      <c r="J1" s="18"/>
    </row>
    <row r="2" spans="1:10" ht="14.45" customHeight="1"/>
    <row r="3" spans="1:10" ht="46.15" customHeight="1">
      <c r="B3" s="12" t="e">
        <f ca="1">MID(CELL("filename",A1),FIND("]",CELL("filename",A1))+1,255)</f>
        <v>#VALUE!</v>
      </c>
    </row>
    <row r="4" spans="1:10" ht="14.45" customHeight="1"/>
    <row r="5" spans="1:10" ht="14.45" customHeight="1"/>
    <row r="6" spans="1:10" ht="14.45" customHeight="1"/>
    <row r="7" spans="1:10" ht="14.45" customHeight="1"/>
    <row r="8" spans="1:10" ht="14.45" customHeight="1"/>
    <row r="9" spans="1:10" ht="14.45" customHeight="1"/>
    <row r="10" spans="1:10" ht="14.45" customHeight="1"/>
    <row r="11" spans="1:10" ht="14.45" customHeight="1"/>
    <row r="12" spans="1:10" ht="14.45" customHeight="1"/>
    <row r="13" spans="1:10" ht="14.45" customHeight="1"/>
    <row r="14" spans="1:10" ht="14.45" customHeight="1"/>
    <row r="15" spans="1:10" ht="14.45" customHeight="1"/>
    <row r="16" spans="1:10" ht="14.45" customHeight="1"/>
    <row r="17" ht="14.45" customHeight="1"/>
    <row r="18" ht="14.45" customHeight="1"/>
    <row r="19" ht="14.45" customHeight="1"/>
    <row r="20" ht="14.45" customHeight="1"/>
    <row r="21" ht="14.45" customHeight="1"/>
    <row r="22" ht="14.45" customHeight="1"/>
    <row r="23" ht="14.45" customHeight="1"/>
  </sheetData>
  <dataValidations count="2">
    <dataValidation allowBlank="1" showInputMessage="1" showErrorMessage="1" prompt="Global check" sqref="B1" xr:uid="{34E665BC-5177-4F94-8E5D-7C36BECAFCDE}"/>
    <dataValidation allowBlank="1" showInputMessage="1" showErrorMessage="1" prompt="Sheet check" sqref="C1" xr:uid="{83DC4C57-9B60-4591-9746-89EAD28A0E21}"/>
  </dataValidations>
  <pageMargins left="0.7" right="0.7" top="0.75" bottom="0.75" header="0.3" footer="0.3"/>
  <pageSetup paperSize="9" orientation="portrait" r:id="rId1"/>
  <headerFooter>
    <oddHeader>&amp;C&amp;"Arial"&amp;10&amp;K000000Classification: 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31F85-4716-473A-A797-C365F1213461}">
  <sheetPr>
    <tabColor rgb="FF0070C0"/>
  </sheetPr>
  <dimension ref="A1:AG67"/>
  <sheetViews>
    <sheetView showGridLines="0" zoomScale="80" zoomScaleNormal="80" workbookViewId="0">
      <selection activeCell="Q31" sqref="Q31"/>
    </sheetView>
  </sheetViews>
  <sheetFormatPr defaultColWidth="8.75" defaultRowHeight="14.1"/>
  <cols>
    <col min="1" max="1" width="8.75" customWidth="1"/>
    <col min="2" max="2" width="39.875" customWidth="1"/>
    <col min="3" max="3" width="8.75" customWidth="1"/>
    <col min="4" max="4" width="10.25" customWidth="1"/>
    <col min="5" max="5" width="8.75" customWidth="1"/>
  </cols>
  <sheetData>
    <row r="1" spans="1:33" s="8" customFormat="1" ht="12.75" customHeight="1">
      <c r="A1"/>
      <c r="B1" t="b">
        <f ca="1">_GlobalCheck</f>
        <v>1</v>
      </c>
      <c r="C1" t="b">
        <f>IF(COUNTIFS(A:A,FALSE)=0,TRUE,FALSE)</f>
        <v>1</v>
      </c>
    </row>
    <row r="2" spans="1:33" s="8" customFormat="1" ht="4.9000000000000004" customHeight="1">
      <c r="A2"/>
    </row>
    <row r="3" spans="1:33" s="8" customFormat="1" ht="18.600000000000001" customHeight="1">
      <c r="A3"/>
      <c r="D3" s="14" t="str">
        <f>ProjectName</f>
        <v>RP4 Additional capacity targets and incentives</v>
      </c>
    </row>
    <row r="4" spans="1:33" s="8" customFormat="1" ht="18.600000000000001" customHeight="1">
      <c r="A4"/>
      <c r="D4" s="15" t="e">
        <f ca="1">FileName</f>
        <v>#VALUE!</v>
      </c>
    </row>
    <row r="5" spans="1:33" s="8" customFormat="1" ht="18.600000000000001" customHeight="1">
      <c r="A5"/>
      <c r="D5" s="15" t="e">
        <f ca="1">MID(CELL("filename",A1),FIND("]",CELL("filename",A1))+1,255)</f>
        <v>#VALUE!</v>
      </c>
    </row>
    <row r="6" spans="1:33" s="8" customFormat="1" ht="4.9000000000000004" customHeight="1">
      <c r="A6"/>
    </row>
    <row r="7" spans="1:33" s="5" customFormat="1" ht="23.25" customHeight="1">
      <c r="B7" s="5" t="e">
        <f ca="1">D5</f>
        <v>#VALUE!</v>
      </c>
    </row>
    <row r="10" spans="1:33" ht="14.45">
      <c r="B10" s="22" t="s">
        <v>32</v>
      </c>
      <c r="C10" s="22"/>
      <c r="D10" s="22" t="s">
        <v>33</v>
      </c>
      <c r="E10" s="22" t="s">
        <v>34</v>
      </c>
      <c r="F10" s="23" t="s">
        <v>35</v>
      </c>
      <c r="G10" s="23">
        <v>2025</v>
      </c>
      <c r="H10" s="23">
        <v>2026</v>
      </c>
      <c r="I10" s="23">
        <v>2027</v>
      </c>
      <c r="J10" s="23">
        <v>2028</v>
      </c>
      <c r="K10" s="23">
        <v>2029</v>
      </c>
    </row>
    <row r="11" spans="1:33" ht="14.45">
      <c r="C11" s="7"/>
      <c r="D11" s="11"/>
      <c r="E11" s="7"/>
      <c r="F11" s="24"/>
      <c r="G11" s="24"/>
      <c r="H11" s="24"/>
      <c r="I11" s="24"/>
      <c r="J11" s="24"/>
      <c r="K11" s="24"/>
    </row>
    <row r="12" spans="1:33" s="1" customFormat="1" ht="14.45">
      <c r="B12" s="1" t="s">
        <v>36</v>
      </c>
    </row>
    <row r="13" spans="1:33" ht="14.45">
      <c r="B13" t="s">
        <v>37</v>
      </c>
      <c r="C13" s="7"/>
      <c r="D13" s="26" t="s">
        <v>38</v>
      </c>
      <c r="E13" s="7" t="s">
        <v>39</v>
      </c>
      <c r="F13" s="7" t="s">
        <v>40</v>
      </c>
      <c r="G13" s="27">
        <v>131412.83240542127</v>
      </c>
      <c r="H13" s="27">
        <v>141316.32054071175</v>
      </c>
      <c r="I13" s="27">
        <v>146178.47037984905</v>
      </c>
      <c r="J13" s="27">
        <v>152979.59833489981</v>
      </c>
      <c r="K13" s="27">
        <v>160207.72697734897</v>
      </c>
    </row>
    <row r="14" spans="1:33" ht="14.45">
      <c r="B14" t="s">
        <v>41</v>
      </c>
      <c r="C14" s="7"/>
      <c r="D14" s="26" t="s">
        <v>38</v>
      </c>
      <c r="E14" s="7" t="s">
        <v>39</v>
      </c>
      <c r="F14" s="7" t="s">
        <v>40</v>
      </c>
      <c r="G14" s="27">
        <v>4013.7495088934925</v>
      </c>
      <c r="H14" s="27">
        <v>6440.3939567111929</v>
      </c>
      <c r="I14" s="27">
        <v>7307.6295360382883</v>
      </c>
      <c r="J14" s="27">
        <v>9375.7833148796326</v>
      </c>
      <c r="K14" s="27">
        <v>10019.56744231731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4.45">
      <c r="B15" t="s">
        <v>42</v>
      </c>
      <c r="D15" s="26" t="s">
        <v>43</v>
      </c>
      <c r="E15" s="7" t="s">
        <v>44</v>
      </c>
      <c r="F15" s="7"/>
      <c r="G15" s="28">
        <f>G14/G13</f>
        <v>3.0543056073174708E-2</v>
      </c>
      <c r="H15" s="28">
        <f t="shared" ref="H15:K15" si="0">H14/H13</f>
        <v>4.5574311106237608E-2</v>
      </c>
      <c r="I15" s="28">
        <f t="shared" si="0"/>
        <v>4.9991147923830359E-2</v>
      </c>
      <c r="J15" s="28">
        <f t="shared" si="0"/>
        <v>6.1287801882930551E-2</v>
      </c>
      <c r="K15" s="28">
        <f t="shared" si="0"/>
        <v>6.2541099804342956E-2</v>
      </c>
    </row>
    <row r="16" spans="1:33">
      <c r="G16" s="24"/>
      <c r="H16" s="24"/>
      <c r="I16" s="24"/>
      <c r="J16" s="24"/>
      <c r="K16" s="24"/>
    </row>
    <row r="17" spans="2:14" s="1" customFormat="1" ht="14.45">
      <c r="B17" s="1" t="s">
        <v>45</v>
      </c>
      <c r="G17" s="29"/>
      <c r="H17" s="29"/>
      <c r="I17" s="29"/>
      <c r="J17" s="29"/>
      <c r="K17" s="29"/>
    </row>
    <row r="18" spans="2:14">
      <c r="B18" t="s">
        <v>46</v>
      </c>
      <c r="D18" s="7" t="s">
        <v>47</v>
      </c>
      <c r="E18" s="7" t="s">
        <v>44</v>
      </c>
      <c r="F18" s="7" t="s">
        <v>40</v>
      </c>
      <c r="G18" s="27">
        <v>326</v>
      </c>
      <c r="H18" s="27">
        <v>343</v>
      </c>
      <c r="I18" s="27">
        <v>348</v>
      </c>
      <c r="J18" s="27">
        <v>361</v>
      </c>
      <c r="K18" s="27">
        <v>364</v>
      </c>
      <c r="N18" s="13"/>
    </row>
    <row r="19" spans="2:14">
      <c r="B19" t="s">
        <v>48</v>
      </c>
      <c r="D19" s="7" t="s">
        <v>47</v>
      </c>
      <c r="E19" s="7" t="s">
        <v>44</v>
      </c>
      <c r="F19" s="7" t="s">
        <v>40</v>
      </c>
      <c r="G19" s="27">
        <v>23.716926365915207</v>
      </c>
      <c r="H19" s="27">
        <v>38.484115058784695</v>
      </c>
      <c r="I19" s="27">
        <v>43.097216185671414</v>
      </c>
      <c r="J19" s="27">
        <v>55.088017445721945</v>
      </c>
      <c r="K19" s="27">
        <v>57.854501580880317</v>
      </c>
    </row>
    <row r="20" spans="2:14">
      <c r="G20" s="24"/>
      <c r="H20" s="24"/>
      <c r="I20" s="24"/>
      <c r="J20" s="24"/>
      <c r="K20" s="24"/>
    </row>
    <row r="21" spans="2:14">
      <c r="B21" t="s">
        <v>49</v>
      </c>
      <c r="G21" s="36">
        <v>320</v>
      </c>
      <c r="H21" s="36">
        <v>320</v>
      </c>
      <c r="I21" s="36">
        <v>345</v>
      </c>
      <c r="J21" s="36">
        <v>365</v>
      </c>
      <c r="K21" s="36">
        <v>365</v>
      </c>
    </row>
    <row r="22" spans="2:14">
      <c r="G22" s="24"/>
      <c r="H22" s="24"/>
      <c r="I22" s="24"/>
      <c r="J22" s="24"/>
      <c r="K22" s="24"/>
    </row>
    <row r="23" spans="2:14" ht="14.45">
      <c r="B23" s="1" t="s">
        <v>50</v>
      </c>
      <c r="G23" s="24"/>
      <c r="H23" s="24"/>
      <c r="I23" s="24"/>
      <c r="J23" s="24"/>
      <c r="K23" s="24"/>
    </row>
    <row r="24" spans="2:14">
      <c r="B24" t="s">
        <v>51</v>
      </c>
      <c r="D24" s="7" t="s">
        <v>52</v>
      </c>
      <c r="E24" s="7" t="s">
        <v>44</v>
      </c>
      <c r="F24" s="7" t="s">
        <v>53</v>
      </c>
      <c r="G24" s="27">
        <v>5175</v>
      </c>
      <c r="H24" s="27">
        <v>5256</v>
      </c>
      <c r="I24" s="27">
        <v>5349</v>
      </c>
      <c r="J24" s="27">
        <v>5458</v>
      </c>
      <c r="K24" s="27">
        <v>5544</v>
      </c>
    </row>
    <row r="25" spans="2:14">
      <c r="B25" t="s">
        <v>54</v>
      </c>
      <c r="D25" s="7" t="s">
        <v>52</v>
      </c>
      <c r="E25" s="7" t="s">
        <v>44</v>
      </c>
      <c r="F25" s="7" t="s">
        <v>53</v>
      </c>
      <c r="G25" s="27">
        <v>5175</v>
      </c>
      <c r="H25" s="27">
        <v>5256</v>
      </c>
      <c r="I25" s="27">
        <v>5349</v>
      </c>
      <c r="J25" s="27">
        <v>5458</v>
      </c>
      <c r="K25" s="27">
        <v>5544</v>
      </c>
    </row>
    <row r="26" spans="2:14" ht="14.45">
      <c r="B26" t="s">
        <v>42</v>
      </c>
      <c r="D26" s="26" t="s">
        <v>43</v>
      </c>
      <c r="E26" s="7" t="s">
        <v>44</v>
      </c>
      <c r="F26" s="7"/>
      <c r="G26" s="32">
        <f>G25/G24</f>
        <v>1</v>
      </c>
      <c r="H26" s="32">
        <f t="shared" ref="H26" si="1">H25/H24</f>
        <v>1</v>
      </c>
      <c r="I26" s="32">
        <f t="shared" ref="I26" si="2">I25/I24</f>
        <v>1</v>
      </c>
      <c r="J26" s="32">
        <f t="shared" ref="J26" si="3">J25/J24</f>
        <v>1</v>
      </c>
      <c r="K26" s="32">
        <f t="shared" ref="K26" si="4">K25/K24</f>
        <v>1</v>
      </c>
    </row>
    <row r="27" spans="2:14">
      <c r="G27" s="24"/>
      <c r="H27" s="24"/>
      <c r="I27" s="24"/>
      <c r="J27" s="24"/>
      <c r="K27" s="24"/>
    </row>
    <row r="28" spans="2:14" s="6" customFormat="1">
      <c r="B28" s="6" t="s">
        <v>55</v>
      </c>
    </row>
    <row r="29" spans="2:14">
      <c r="G29" s="24"/>
      <c r="H29" s="24"/>
      <c r="I29" s="24"/>
      <c r="J29" s="24"/>
      <c r="K29" s="24"/>
    </row>
    <row r="30" spans="2:14" ht="14.45">
      <c r="B30" s="1" t="s">
        <v>56</v>
      </c>
      <c r="G30" s="24"/>
      <c r="H30" s="24"/>
      <c r="I30" s="24"/>
      <c r="J30" s="24"/>
      <c r="K30" s="24"/>
    </row>
    <row r="31" spans="2:14">
      <c r="B31" t="s">
        <v>57</v>
      </c>
      <c r="D31" s="7" t="s">
        <v>43</v>
      </c>
      <c r="E31" s="7" t="s">
        <v>44</v>
      </c>
      <c r="F31" s="7" t="s">
        <v>40</v>
      </c>
      <c r="G31" s="30">
        <v>0.05</v>
      </c>
      <c r="H31" s="30">
        <v>0.05</v>
      </c>
      <c r="I31" s="30">
        <v>0.05</v>
      </c>
      <c r="J31" s="30">
        <v>0.05</v>
      </c>
      <c r="K31" s="30">
        <v>0.05</v>
      </c>
    </row>
    <row r="32" spans="2:14">
      <c r="B32" t="s">
        <v>58</v>
      </c>
      <c r="D32" s="7" t="s">
        <v>43</v>
      </c>
      <c r="E32" s="7" t="s">
        <v>44</v>
      </c>
      <c r="F32" s="7" t="s">
        <v>40</v>
      </c>
      <c r="G32" s="31">
        <v>0.03</v>
      </c>
      <c r="H32" s="31">
        <v>0.03</v>
      </c>
      <c r="I32" s="31">
        <v>0.03</v>
      </c>
      <c r="J32" s="31">
        <v>0.03</v>
      </c>
      <c r="K32" s="31">
        <v>0.03</v>
      </c>
    </row>
    <row r="33" spans="2:13">
      <c r="G33" s="24"/>
      <c r="H33" s="24"/>
      <c r="I33" s="24"/>
      <c r="J33" s="24"/>
      <c r="K33" s="24"/>
    </row>
    <row r="34" spans="2:13">
      <c r="B34" t="s">
        <v>59</v>
      </c>
      <c r="D34" s="7" t="s">
        <v>47</v>
      </c>
      <c r="E34" s="7" t="s">
        <v>44</v>
      </c>
      <c r="F34" s="7" t="s">
        <v>40</v>
      </c>
      <c r="G34" s="25">
        <f>ROUND(G$18-(G$19-(G$19*(1-G31))),0)</f>
        <v>325</v>
      </c>
      <c r="H34" s="25">
        <f t="shared" ref="H34:K34" si="5">ROUND(H$18-(H$19-(H$19*(1-H31))),0)</f>
        <v>341</v>
      </c>
      <c r="I34" s="25">
        <f t="shared" si="5"/>
        <v>346</v>
      </c>
      <c r="J34" s="25">
        <f t="shared" si="5"/>
        <v>358</v>
      </c>
      <c r="K34" s="25">
        <f t="shared" si="5"/>
        <v>361</v>
      </c>
    </row>
    <row r="35" spans="2:13" ht="14.45">
      <c r="B35" t="s">
        <v>58</v>
      </c>
      <c r="D35" s="26" t="s">
        <v>38</v>
      </c>
      <c r="E35" s="7" t="s">
        <v>39</v>
      </c>
      <c r="F35" s="7" t="s">
        <v>40</v>
      </c>
      <c r="G35" s="25">
        <f>G$13*G32</f>
        <v>3942.384972162638</v>
      </c>
      <c r="H35" s="25">
        <f t="shared" ref="H35:K35" si="6">H$13*H32</f>
        <v>4239.4896162213527</v>
      </c>
      <c r="I35" s="25">
        <f t="shared" si="6"/>
        <v>4385.3541113954716</v>
      </c>
      <c r="J35" s="25">
        <f t="shared" si="6"/>
        <v>4589.3879500469939</v>
      </c>
      <c r="K35" s="25">
        <f t="shared" si="6"/>
        <v>4806.2318093204685</v>
      </c>
    </row>
    <row r="36" spans="2:13">
      <c r="B36" t="s">
        <v>60</v>
      </c>
      <c r="D36" s="7" t="s">
        <v>43</v>
      </c>
      <c r="E36" s="7" t="s">
        <v>44</v>
      </c>
      <c r="F36" s="7" t="s">
        <v>40</v>
      </c>
      <c r="G36" s="32">
        <f>G35/G$14</f>
        <v>0.98221998244466224</v>
      </c>
      <c r="H36" s="32">
        <f t="shared" ref="H36:K36" si="7">H35/H$14</f>
        <v>0.65826557268342345</v>
      </c>
      <c r="I36" s="32">
        <f t="shared" si="7"/>
        <v>0.60010624372358634</v>
      </c>
      <c r="J36" s="32">
        <f t="shared" si="7"/>
        <v>0.48949381570748396</v>
      </c>
      <c r="K36" s="32">
        <f t="shared" si="7"/>
        <v>0.4796845609343881</v>
      </c>
    </row>
    <row r="37" spans="2:13" ht="14.45">
      <c r="B37" t="s">
        <v>61</v>
      </c>
      <c r="D37" s="7" t="s">
        <v>47</v>
      </c>
      <c r="E37" s="7" t="s">
        <v>44</v>
      </c>
      <c r="F37" s="7" t="s">
        <v>40</v>
      </c>
      <c r="G37" s="25">
        <f>G$18-(G$19-(G$19*(1-G36)))</f>
        <v>302.70476100122943</v>
      </c>
      <c r="H37" s="25">
        <f t="shared" ref="H37:K37" si="8">H$18-(H$19-(H$19*(1-H36)))</f>
        <v>317.66723196161433</v>
      </c>
      <c r="I37" s="25">
        <f t="shared" si="8"/>
        <v>322.13709147987339</v>
      </c>
      <c r="J37" s="25">
        <f t="shared" si="8"/>
        <v>334.03475614073312</v>
      </c>
      <c r="K37" s="25">
        <f t="shared" si="8"/>
        <v>336.24808881109755</v>
      </c>
      <c r="M37" s="11" t="s">
        <v>62</v>
      </c>
    </row>
    <row r="38" spans="2:13">
      <c r="G38" s="24"/>
      <c r="H38" s="24"/>
      <c r="I38" s="24"/>
      <c r="J38" s="24"/>
      <c r="K38" s="24"/>
    </row>
    <row r="39" spans="2:13">
      <c r="B39" t="s">
        <v>63</v>
      </c>
      <c r="D39" s="7" t="s">
        <v>47</v>
      </c>
      <c r="E39" s="7" t="s">
        <v>44</v>
      </c>
      <c r="F39" s="7" t="s">
        <v>40</v>
      </c>
      <c r="G39" s="25">
        <f>G34-G37</f>
        <v>22.295238998770571</v>
      </c>
      <c r="H39" s="25">
        <f>H34-H37</f>
        <v>23.332768038385666</v>
      </c>
      <c r="I39" s="25">
        <f>I34-I37</f>
        <v>23.862908520126609</v>
      </c>
      <c r="J39" s="25">
        <f>J34-J37</f>
        <v>23.965243859266877</v>
      </c>
      <c r="K39" s="25">
        <f>K34-K37</f>
        <v>24.751911188902454</v>
      </c>
    </row>
    <row r="40" spans="2:13">
      <c r="B40" t="s">
        <v>64</v>
      </c>
      <c r="D40" s="7" t="s">
        <v>43</v>
      </c>
      <c r="E40" s="7" t="s">
        <v>44</v>
      </c>
      <c r="F40" s="7" t="s">
        <v>40</v>
      </c>
      <c r="G40" s="32">
        <f>IF(OR(G21&gt;=G34,G21&lt;G37),"",(G21-G37)/G39)</f>
        <v>0.77573687367622679</v>
      </c>
      <c r="H40" s="32">
        <f>IF(OR(H21&gt;=H34,H21&lt;H37),"",(H21-H37)/H39)</f>
        <v>9.9978195238041898E-2</v>
      </c>
      <c r="I40" s="32">
        <f>IF(OR(I21&gt;=I34,I21&lt;I37),"",(I21-I37)/I39)</f>
        <v>0.95809395995644986</v>
      </c>
      <c r="J40" s="32" t="str">
        <f>IF(OR(J21&gt;=J34,J21&lt;J37),"",(J21-J37)/J39)</f>
        <v/>
      </c>
      <c r="K40" s="32" t="str">
        <f>IF(OR(K21&gt;=K34,K21&lt;K37),"",(K21-K37)/K39)</f>
        <v/>
      </c>
    </row>
    <row r="41" spans="2:13">
      <c r="G41" s="24"/>
      <c r="H41" s="24"/>
      <c r="I41" s="24"/>
      <c r="J41" s="24"/>
      <c r="K41" s="24"/>
    </row>
    <row r="42" spans="2:13" ht="14.45">
      <c r="B42" t="s">
        <v>65</v>
      </c>
      <c r="D42" s="26" t="s">
        <v>38</v>
      </c>
      <c r="E42" s="7" t="s">
        <v>39</v>
      </c>
      <c r="F42" s="7" t="s">
        <v>40</v>
      </c>
      <c r="G42" s="25">
        <f>IF(G21&gt;=G34,0,IF(G21&lt;G37,G35,(G35*(1-G40))))</f>
        <v>884.13157902905482</v>
      </c>
      <c r="H42" s="25">
        <f>IF(H21&gt;=H34,0,IF(H21&lt;H37,H35,(H35*(1-H40))))</f>
        <v>3815.6330956611232</v>
      </c>
      <c r="I42" s="25">
        <f>IF(I21&gt;=I34,0,IF(I21&lt;I37,I35,(I35*(1-I40))))</f>
        <v>183.77282499728588</v>
      </c>
      <c r="J42" s="25">
        <f>IF(J21&gt;=J34,0,IF(J21&lt;J37,J35,(J35*(1-J40))))</f>
        <v>0</v>
      </c>
      <c r="K42" s="25">
        <f>IF(K21&gt;=K34,0,IF(K21&lt;K37,K35,(K35*(1-K40))))</f>
        <v>0</v>
      </c>
    </row>
    <row r="44" spans="2:13" ht="14.45">
      <c r="B44" s="1" t="s">
        <v>66</v>
      </c>
    </row>
    <row r="45" spans="2:13">
      <c r="B45" t="s">
        <v>57</v>
      </c>
      <c r="D45" s="7" t="s">
        <v>43</v>
      </c>
      <c r="E45" s="7" t="s">
        <v>44</v>
      </c>
      <c r="F45" s="7" t="s">
        <v>40</v>
      </c>
      <c r="G45" s="30">
        <v>0.1</v>
      </c>
      <c r="H45" s="30">
        <v>0.1</v>
      </c>
      <c r="I45" s="30">
        <v>0.1</v>
      </c>
      <c r="J45" s="30">
        <v>0.1</v>
      </c>
      <c r="K45" s="30">
        <v>0.1</v>
      </c>
    </row>
    <row r="46" spans="2:13">
      <c r="B46" t="s">
        <v>58</v>
      </c>
      <c r="D46" s="7" t="s">
        <v>43</v>
      </c>
      <c r="E46" s="7" t="s">
        <v>44</v>
      </c>
      <c r="F46" s="7" t="s">
        <v>40</v>
      </c>
      <c r="G46" s="31">
        <v>0.03</v>
      </c>
      <c r="H46" s="31">
        <v>0.03</v>
      </c>
      <c r="I46" s="31">
        <v>0.03</v>
      </c>
      <c r="J46" s="31">
        <v>0.03</v>
      </c>
      <c r="K46" s="31">
        <v>0.03</v>
      </c>
    </row>
    <row r="47" spans="2:13">
      <c r="G47" s="24"/>
      <c r="H47" s="24"/>
      <c r="I47" s="24"/>
      <c r="J47" s="24"/>
      <c r="K47" s="24"/>
    </row>
    <row r="48" spans="2:13">
      <c r="B48" t="s">
        <v>59</v>
      </c>
      <c r="D48" s="7" t="s">
        <v>47</v>
      </c>
      <c r="E48" s="7" t="s">
        <v>44</v>
      </c>
      <c r="F48" s="7" t="s">
        <v>40</v>
      </c>
      <c r="G48" s="25">
        <f>ROUND(G$18-(G$19-(G$19*(1-G45))),0)</f>
        <v>324</v>
      </c>
      <c r="H48" s="25">
        <f t="shared" ref="H48:K48" si="9">ROUND(H$18-(H$19-(H$19*(1-H45))),0)</f>
        <v>339</v>
      </c>
      <c r="I48" s="25">
        <f t="shared" si="9"/>
        <v>344</v>
      </c>
      <c r="J48" s="25">
        <f t="shared" si="9"/>
        <v>355</v>
      </c>
      <c r="K48" s="25">
        <f t="shared" si="9"/>
        <v>358</v>
      </c>
    </row>
    <row r="49" spans="1:13" ht="14.45">
      <c r="B49" t="s">
        <v>58</v>
      </c>
      <c r="D49" s="26" t="s">
        <v>38</v>
      </c>
      <c r="E49" s="7" t="s">
        <v>39</v>
      </c>
      <c r="F49" s="7" t="s">
        <v>40</v>
      </c>
      <c r="G49" s="25">
        <f>G$13*G46</f>
        <v>3942.384972162638</v>
      </c>
      <c r="H49" s="25">
        <f t="shared" ref="H49:K49" si="10">H$13*H46</f>
        <v>4239.4896162213527</v>
      </c>
      <c r="I49" s="25">
        <f t="shared" si="10"/>
        <v>4385.3541113954716</v>
      </c>
      <c r="J49" s="25">
        <f t="shared" si="10"/>
        <v>4589.3879500469939</v>
      </c>
      <c r="K49" s="25">
        <f t="shared" si="10"/>
        <v>4806.2318093204685</v>
      </c>
    </row>
    <row r="50" spans="1:13">
      <c r="B50" t="s">
        <v>60</v>
      </c>
      <c r="D50" s="7" t="s">
        <v>43</v>
      </c>
      <c r="E50" s="7" t="s">
        <v>44</v>
      </c>
      <c r="F50" s="7" t="s">
        <v>40</v>
      </c>
      <c r="G50" s="32">
        <f>G49/G$14</f>
        <v>0.98221998244466224</v>
      </c>
      <c r="H50" s="32">
        <f t="shared" ref="H50" si="11">H49/H$14</f>
        <v>0.65826557268342345</v>
      </c>
      <c r="I50" s="32">
        <f t="shared" ref="I50" si="12">I49/I$14</f>
        <v>0.60010624372358634</v>
      </c>
      <c r="J50" s="32">
        <f t="shared" ref="J50" si="13">J49/J$14</f>
        <v>0.48949381570748396</v>
      </c>
      <c r="K50" s="32">
        <f t="shared" ref="K50" si="14">K49/K$14</f>
        <v>0.4796845609343881</v>
      </c>
    </row>
    <row r="51" spans="1:13" ht="14.45">
      <c r="B51" t="s">
        <v>61</v>
      </c>
      <c r="D51" s="7" t="s">
        <v>47</v>
      </c>
      <c r="E51" s="7" t="s">
        <v>44</v>
      </c>
      <c r="F51" s="7" t="s">
        <v>40</v>
      </c>
      <c r="G51" s="25">
        <f>G18-G19</f>
        <v>302.28307363408481</v>
      </c>
      <c r="H51" s="25">
        <f t="shared" ref="H51:K51" si="15">H18-H19</f>
        <v>304.51588494121529</v>
      </c>
      <c r="I51" s="25">
        <f t="shared" si="15"/>
        <v>304.90278381432859</v>
      </c>
      <c r="J51" s="25">
        <f t="shared" si="15"/>
        <v>305.91198255427804</v>
      </c>
      <c r="K51" s="25">
        <f t="shared" si="15"/>
        <v>306.14549841911969</v>
      </c>
      <c r="M51" s="11" t="s">
        <v>67</v>
      </c>
    </row>
    <row r="52" spans="1:13">
      <c r="G52" s="24"/>
      <c r="H52" s="24"/>
      <c r="I52" s="24"/>
      <c r="J52" s="24"/>
      <c r="K52" s="24"/>
    </row>
    <row r="53" spans="1:13">
      <c r="B53" t="s">
        <v>63</v>
      </c>
      <c r="D53" s="7" t="s">
        <v>47</v>
      </c>
      <c r="E53" s="7" t="s">
        <v>44</v>
      </c>
      <c r="F53" s="7" t="s">
        <v>40</v>
      </c>
      <c r="G53" s="25">
        <f>G48-G51</f>
        <v>21.716926365915185</v>
      </c>
      <c r="H53" s="25">
        <f t="shared" ref="H53:K53" si="16">H48-H51</f>
        <v>34.48411505878471</v>
      </c>
      <c r="I53" s="25">
        <f t="shared" si="16"/>
        <v>39.097216185671414</v>
      </c>
      <c r="J53" s="25">
        <f t="shared" si="16"/>
        <v>49.08801744572196</v>
      </c>
      <c r="K53" s="25">
        <f t="shared" si="16"/>
        <v>51.85450158088031</v>
      </c>
    </row>
    <row r="54" spans="1:13">
      <c r="B54" t="s">
        <v>64</v>
      </c>
      <c r="D54" s="7" t="s">
        <v>43</v>
      </c>
      <c r="E54" s="7" t="s">
        <v>44</v>
      </c>
      <c r="F54" s="7" t="s">
        <v>40</v>
      </c>
      <c r="G54" s="32">
        <f>IF(OR(G21&gt;=G48,G21&lt;G51),"",(G21-G51)/G53)</f>
        <v>0.81581187261020427</v>
      </c>
      <c r="H54" s="32">
        <f>IF(OR(H21&gt;=H48,H21&lt;H51),"",(H21-H51)/H53)</f>
        <v>0.44902167367175005</v>
      </c>
      <c r="I54" s="32" t="str">
        <f>IF(OR(I21&gt;=I48,I21&lt;I51),"",(I21-I51)/I53)</f>
        <v/>
      </c>
      <c r="J54" s="32" t="str">
        <f>IF(OR(J21&gt;=J48,J21&lt;J51),"",(J21-J51)/J53)</f>
        <v/>
      </c>
      <c r="K54" s="32" t="str">
        <f>IF(OR(K21&gt;=K48,K21&lt;K51),"",(K21-K51)/K53)</f>
        <v/>
      </c>
    </row>
    <row r="55" spans="1:13">
      <c r="G55" s="24"/>
      <c r="H55" s="24"/>
      <c r="I55" s="24"/>
      <c r="J55" s="24"/>
      <c r="K55" s="24"/>
    </row>
    <row r="56" spans="1:13" ht="14.45">
      <c r="B56" t="s">
        <v>65</v>
      </c>
      <c r="D56" s="26" t="s">
        <v>38</v>
      </c>
      <c r="E56" s="7" t="s">
        <v>39</v>
      </c>
      <c r="F56" s="7" t="s">
        <v>40</v>
      </c>
      <c r="G56" s="25">
        <f>IF(G21&gt;=G48,0,IF(G21&lt;G51,G49,(G49*(1-G54))))</f>
        <v>726.14050547230829</v>
      </c>
      <c r="H56" s="25">
        <f>IF(H21&gt;=H48,0,IF(H21&lt;H51,H49,(H49*(1-H54))))</f>
        <v>2335.8668932316355</v>
      </c>
      <c r="I56" s="25">
        <f>IF(I21&gt;=I48,0,IF(I21&lt;I51,I49,(I49*(1-I54))))</f>
        <v>0</v>
      </c>
      <c r="J56" s="25">
        <f>IF(J21&gt;=J48,0,IF(J21&lt;J51,J49,(J49*(1-J54))))</f>
        <v>0</v>
      </c>
      <c r="K56" s="25">
        <f>IF(K21&gt;=K48,0,IF(K21&lt;K51,K49,(K49*(1-K54))))</f>
        <v>0</v>
      </c>
    </row>
    <row r="58" spans="1:13" ht="14.45">
      <c r="B58" s="1" t="s">
        <v>68</v>
      </c>
    </row>
    <row r="59" spans="1:13" ht="14.45">
      <c r="B59" t="s">
        <v>65</v>
      </c>
      <c r="D59" s="26" t="s">
        <v>38</v>
      </c>
      <c r="E59" s="7" t="s">
        <v>39</v>
      </c>
      <c r="F59" s="7" t="s">
        <v>40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M59" s="11" t="s">
        <v>69</v>
      </c>
    </row>
    <row r="61" spans="1:13" s="6" customFormat="1">
      <c r="A61"/>
      <c r="B61" s="6" t="s">
        <v>70</v>
      </c>
    </row>
    <row r="63" spans="1:13" ht="14.45">
      <c r="B63" t="s">
        <v>65</v>
      </c>
      <c r="D63" s="26" t="s">
        <v>38</v>
      </c>
      <c r="E63" s="7" t="s">
        <v>39</v>
      </c>
      <c r="F63" s="7" t="s">
        <v>40</v>
      </c>
      <c r="G63" s="25">
        <f>IF(G26&lt;0.9,G59,IF(G26&gt;=0.95,G42,G56))</f>
        <v>884.13157902905482</v>
      </c>
      <c r="H63" s="25">
        <f t="shared" ref="H63:K63" si="17">IF(H26&lt;0.9,H59,IF(H26&gt;=0.95,H42,H56))</f>
        <v>3815.6330956611232</v>
      </c>
      <c r="I63" s="25">
        <f t="shared" si="17"/>
        <v>183.77282499728588</v>
      </c>
      <c r="J63" s="25">
        <f t="shared" si="17"/>
        <v>0</v>
      </c>
      <c r="K63" s="25">
        <f t="shared" si="17"/>
        <v>0</v>
      </c>
    </row>
    <row r="67" spans="1:33" ht="21">
      <c r="A67" s="5"/>
      <c r="B67" s="5" t="s">
        <v>26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</sheetData>
  <phoneticPr fontId="37" type="noConversion"/>
  <conditionalFormatting sqref="A1:A6 A8 A13:A27 A29:A66 A68:A1048576">
    <cfRule type="containsText" dxfId="7" priority="7" operator="containsText" text="true">
      <formula>NOT(ISERROR(SEARCH("true",A1)))</formula>
    </cfRule>
    <cfRule type="containsText" dxfId="6" priority="8" operator="containsText" text="false">
      <formula>NOT(ISERROR(SEARCH("false",A1)))</formula>
    </cfRule>
  </conditionalFormatting>
  <conditionalFormatting sqref="B1:C1">
    <cfRule type="containsText" dxfId="5" priority="5" operator="containsText" text="true">
      <formula>NOT(ISERROR(SEARCH("true",B1)))</formula>
    </cfRule>
    <cfRule type="containsText" dxfId="4" priority="6" operator="containsText" text="false">
      <formula>NOT(ISERROR(SEARCH("false",B1)))</formula>
    </cfRule>
  </conditionalFormatting>
  <dataValidations disablePrompts="1" count="2">
    <dataValidation allowBlank="1" showInputMessage="1" showErrorMessage="1" prompt="Global check" sqref="B1" xr:uid="{9BACD764-1A74-46E1-94E2-2925F002058A}"/>
    <dataValidation allowBlank="1" showInputMessage="1" showErrorMessage="1" prompt="Sheet check" sqref="C1" xr:uid="{0998B9F1-AD28-4C2C-BA4D-9EEF81D3562C}"/>
  </dataValidations>
  <pageMargins left="0.7" right="0.7" top="0.75" bottom="0.75" header="0.3" footer="0.3"/>
  <pageSetup paperSize="9" orientation="portrait" r:id="rId1"/>
  <headerFooter>
    <oddHeader>&amp;C&amp;"Arial"&amp;10&amp;K000000Classification: 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C827C-90DF-40E9-9ECF-67461495562A}">
  <sheetPr>
    <tabColor rgb="FF0070C0"/>
  </sheetPr>
  <dimension ref="A1:AG52"/>
  <sheetViews>
    <sheetView showGridLines="0" tabSelected="1" zoomScale="80" zoomScaleNormal="80" workbookViewId="0">
      <selection activeCell="M19" sqref="M19"/>
    </sheetView>
  </sheetViews>
  <sheetFormatPr defaultColWidth="8.75" defaultRowHeight="14.1"/>
  <cols>
    <col min="1" max="1" width="8.75" customWidth="1"/>
    <col min="2" max="2" width="39.875" customWidth="1"/>
    <col min="3" max="3" width="8.75" customWidth="1"/>
    <col min="4" max="4" width="10.25" customWidth="1"/>
    <col min="5" max="5" width="8.75" customWidth="1"/>
    <col min="7" max="11" width="8.75" style="24"/>
  </cols>
  <sheetData>
    <row r="1" spans="1:33" s="8" customFormat="1" ht="12.75" customHeight="1">
      <c r="A1"/>
      <c r="B1" t="b">
        <f ca="1">_GlobalCheck</f>
        <v>1</v>
      </c>
      <c r="C1" t="b">
        <f>IF(COUNTIFS(A:A,FALSE)=0,TRUE,FALSE)</f>
        <v>1</v>
      </c>
      <c r="G1" s="33"/>
      <c r="H1" s="33"/>
      <c r="I1" s="33"/>
      <c r="J1" s="33"/>
      <c r="K1" s="33"/>
    </row>
    <row r="2" spans="1:33" s="8" customFormat="1" ht="4.9000000000000004" customHeight="1">
      <c r="A2"/>
      <c r="G2" s="33"/>
      <c r="H2" s="33"/>
      <c r="I2" s="33"/>
      <c r="J2" s="33"/>
      <c r="K2" s="33"/>
    </row>
    <row r="3" spans="1:33" s="8" customFormat="1" ht="18.600000000000001" customHeight="1">
      <c r="A3"/>
      <c r="D3" s="14" t="str">
        <f>ProjectName</f>
        <v>RP4 Additional capacity targets and incentives</v>
      </c>
      <c r="G3" s="33"/>
      <c r="H3" s="33"/>
      <c r="I3" s="33"/>
      <c r="J3" s="33"/>
      <c r="K3" s="33"/>
    </row>
    <row r="4" spans="1:33" s="8" customFormat="1" ht="18.600000000000001" customHeight="1">
      <c r="A4"/>
      <c r="D4" s="15" t="e">
        <f ca="1">FileName</f>
        <v>#VALUE!</v>
      </c>
      <c r="G4" s="33"/>
      <c r="H4" s="33"/>
      <c r="I4" s="33"/>
      <c r="J4" s="33"/>
      <c r="K4" s="33"/>
    </row>
    <row r="5" spans="1:33" s="8" customFormat="1" ht="18.600000000000001" customHeight="1">
      <c r="A5"/>
      <c r="D5" s="15" t="e">
        <f ca="1">MID(CELL("filename",A1),FIND("]",CELL("filename",A1))+1,255)</f>
        <v>#VALUE!</v>
      </c>
      <c r="G5" s="33"/>
      <c r="H5" s="33"/>
      <c r="I5" s="33"/>
      <c r="J5" s="33"/>
      <c r="K5" s="33"/>
    </row>
    <row r="6" spans="1:33" s="8" customFormat="1" ht="4.9000000000000004" customHeight="1">
      <c r="A6"/>
      <c r="G6" s="33"/>
      <c r="H6" s="33"/>
      <c r="I6" s="33"/>
      <c r="J6" s="33"/>
      <c r="K6" s="33"/>
    </row>
    <row r="7" spans="1:33" s="5" customFormat="1" ht="23.25" customHeight="1">
      <c r="B7" s="5" t="e">
        <f ca="1">D5</f>
        <v>#VALUE!</v>
      </c>
      <c r="G7" s="34"/>
      <c r="H7" s="34"/>
      <c r="I7" s="34"/>
      <c r="J7" s="34"/>
      <c r="K7" s="34"/>
    </row>
    <row r="10" spans="1:33" ht="14.45">
      <c r="B10" s="22" t="s">
        <v>32</v>
      </c>
      <c r="C10" s="22"/>
      <c r="D10" s="22" t="s">
        <v>33</v>
      </c>
      <c r="E10" s="22" t="s">
        <v>34</v>
      </c>
      <c r="F10" s="23" t="s">
        <v>35</v>
      </c>
      <c r="G10" s="23">
        <v>2025</v>
      </c>
      <c r="H10" s="23">
        <v>2026</v>
      </c>
      <c r="I10" s="23">
        <v>2027</v>
      </c>
      <c r="J10" s="23">
        <v>2028</v>
      </c>
      <c r="K10" s="23">
        <v>2029</v>
      </c>
    </row>
    <row r="11" spans="1:33" ht="14.45">
      <c r="C11" s="7"/>
      <c r="D11" s="11"/>
      <c r="E11" s="7"/>
      <c r="F11" s="24"/>
    </row>
    <row r="12" spans="1:33" s="1" customFormat="1" ht="14.45">
      <c r="B12" s="1" t="s">
        <v>36</v>
      </c>
      <c r="G12" s="29"/>
      <c r="H12" s="29"/>
      <c r="I12" s="29"/>
      <c r="J12" s="29"/>
      <c r="K12" s="29"/>
    </row>
    <row r="13" spans="1:33" ht="14.45">
      <c r="B13" t="s">
        <v>37</v>
      </c>
      <c r="C13" s="7"/>
      <c r="D13" s="26" t="s">
        <v>38</v>
      </c>
      <c r="E13" s="7" t="s">
        <v>39</v>
      </c>
      <c r="F13" s="7" t="s">
        <v>40</v>
      </c>
      <c r="G13" s="3">
        <f>'ATCO Incentive Scheme'!G13</f>
        <v>131412.83240542127</v>
      </c>
      <c r="H13" s="3">
        <f>'ATCO Incentive Scheme'!H13</f>
        <v>141316.32054071175</v>
      </c>
      <c r="I13" s="3">
        <f>'ATCO Incentive Scheme'!I13</f>
        <v>146178.47037984905</v>
      </c>
      <c r="J13" s="3">
        <f>'ATCO Incentive Scheme'!J13</f>
        <v>152979.59833489981</v>
      </c>
      <c r="K13" s="3">
        <f>'ATCO Incentive Scheme'!K13</f>
        <v>160207.72697734897</v>
      </c>
    </row>
    <row r="14" spans="1:33" ht="14.45">
      <c r="B14" t="s">
        <v>71</v>
      </c>
      <c r="C14" s="7"/>
      <c r="D14" s="26" t="s">
        <v>38</v>
      </c>
      <c r="E14" s="7" t="s">
        <v>39</v>
      </c>
      <c r="F14" s="7" t="s">
        <v>40</v>
      </c>
      <c r="G14" s="27">
        <v>3313.1085256089723</v>
      </c>
      <c r="H14" s="27">
        <v>3492.9640063575966</v>
      </c>
      <c r="I14" s="27">
        <v>3702.6971122937352</v>
      </c>
      <c r="J14" s="27">
        <v>3951.9184406028999</v>
      </c>
      <c r="K14" s="27">
        <v>4184.0722551610834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4.45">
      <c r="B15" t="s">
        <v>42</v>
      </c>
      <c r="D15" s="26" t="s">
        <v>43</v>
      </c>
      <c r="E15" s="7" t="s">
        <v>44</v>
      </c>
      <c r="F15" s="7"/>
      <c r="G15" s="28">
        <f>G14/G13</f>
        <v>2.5211453592201047E-2</v>
      </c>
      <c r="H15" s="28">
        <f t="shared" ref="H15:K15" si="0">H14/H13</f>
        <v>2.471734328344128E-2</v>
      </c>
      <c r="I15" s="28">
        <f t="shared" si="0"/>
        <v>2.5329975766418735E-2</v>
      </c>
      <c r="J15" s="28">
        <f t="shared" si="0"/>
        <v>2.5832976969591991E-2</v>
      </c>
      <c r="K15" s="28">
        <f t="shared" si="0"/>
        <v>2.6116544651761085E-2</v>
      </c>
    </row>
    <row r="17" spans="2:14" s="1" customFormat="1" ht="14.45">
      <c r="B17" s="1" t="s">
        <v>72</v>
      </c>
      <c r="G17" s="29"/>
      <c r="H17" s="29"/>
      <c r="I17" s="29"/>
      <c r="J17" s="29"/>
      <c r="K17" s="29"/>
    </row>
    <row r="18" spans="2:14">
      <c r="B18" t="s">
        <v>73</v>
      </c>
      <c r="D18" s="7" t="s">
        <v>47</v>
      </c>
      <c r="E18" s="7" t="s">
        <v>44</v>
      </c>
      <c r="F18" s="7" t="s">
        <v>40</v>
      </c>
      <c r="G18" s="27">
        <v>115.75604596295543</v>
      </c>
      <c r="H18" s="27">
        <v>116.59659816393125</v>
      </c>
      <c r="I18" s="27">
        <v>117.37074901894923</v>
      </c>
      <c r="J18" s="27">
        <v>118.29941385493693</v>
      </c>
      <c r="K18" s="27">
        <v>118.99936487319435</v>
      </c>
      <c r="N18" s="13"/>
    </row>
    <row r="19" spans="2:14">
      <c r="B19" t="s">
        <v>74</v>
      </c>
      <c r="D19" s="7" t="s">
        <v>47</v>
      </c>
      <c r="E19" s="7" t="s">
        <v>44</v>
      </c>
      <c r="F19" s="7" t="s">
        <v>40</v>
      </c>
      <c r="G19" s="27">
        <v>24.439369837742888</v>
      </c>
      <c r="H19" s="27">
        <v>25.153839208572336</v>
      </c>
      <c r="I19" s="27">
        <v>25.811867435337618</v>
      </c>
      <c r="J19" s="27">
        <v>26.601232545927161</v>
      </c>
      <c r="K19" s="27">
        <v>27.196190911445967</v>
      </c>
    </row>
    <row r="21" spans="2:14">
      <c r="B21" t="s">
        <v>49</v>
      </c>
      <c r="D21" s="7" t="s">
        <v>47</v>
      </c>
      <c r="E21" s="7" t="s">
        <v>44</v>
      </c>
      <c r="F21" s="7" t="s">
        <v>40</v>
      </c>
      <c r="G21" s="36">
        <v>105</v>
      </c>
      <c r="H21" s="36">
        <v>114</v>
      </c>
      <c r="I21" s="36">
        <v>110</v>
      </c>
      <c r="J21" s="36">
        <v>119</v>
      </c>
      <c r="K21" s="36">
        <v>120</v>
      </c>
    </row>
    <row r="23" spans="2:14" ht="14.45">
      <c r="B23" s="1" t="s">
        <v>50</v>
      </c>
    </row>
    <row r="24" spans="2:14">
      <c r="B24" t="s">
        <v>51</v>
      </c>
      <c r="D24" s="7" t="s">
        <v>75</v>
      </c>
      <c r="E24" s="7" t="s">
        <v>44</v>
      </c>
      <c r="F24" s="7" t="s">
        <v>53</v>
      </c>
      <c r="G24" s="25">
        <f>'ATCO Incentive Scheme'!G24</f>
        <v>5175</v>
      </c>
      <c r="H24" s="25">
        <f>'ATCO Incentive Scheme'!H24</f>
        <v>5256</v>
      </c>
      <c r="I24" s="25">
        <f>'ATCO Incentive Scheme'!I24</f>
        <v>5349</v>
      </c>
      <c r="J24" s="25">
        <f>'ATCO Incentive Scheme'!J24</f>
        <v>5458</v>
      </c>
      <c r="K24" s="25">
        <f>'ATCO Incentive Scheme'!K24</f>
        <v>5544</v>
      </c>
    </row>
    <row r="25" spans="2:14">
      <c r="B25" t="s">
        <v>54</v>
      </c>
      <c r="D25" s="7" t="s">
        <v>75</v>
      </c>
      <c r="E25" s="7" t="s">
        <v>44</v>
      </c>
      <c r="F25" s="7" t="s">
        <v>53</v>
      </c>
      <c r="G25" s="25">
        <f>'ATCO Incentive Scheme'!G25</f>
        <v>5175</v>
      </c>
      <c r="H25" s="25">
        <f>'ATCO Incentive Scheme'!H25</f>
        <v>5256</v>
      </c>
      <c r="I25" s="25">
        <f>'ATCO Incentive Scheme'!I25</f>
        <v>5349</v>
      </c>
      <c r="J25" s="25">
        <f>'ATCO Incentive Scheme'!J25</f>
        <v>5458</v>
      </c>
      <c r="K25" s="25">
        <f>'ATCO Incentive Scheme'!K25</f>
        <v>5544</v>
      </c>
    </row>
    <row r="26" spans="2:14" ht="14.45">
      <c r="B26" t="s">
        <v>42</v>
      </c>
      <c r="D26" s="26" t="s">
        <v>43</v>
      </c>
      <c r="E26" s="7" t="s">
        <v>44</v>
      </c>
      <c r="F26" s="7"/>
      <c r="G26" s="32">
        <f>G25/G24</f>
        <v>1</v>
      </c>
      <c r="H26" s="32">
        <f t="shared" ref="H26:K26" si="1">H25/H24</f>
        <v>1</v>
      </c>
      <c r="I26" s="32">
        <f t="shared" si="1"/>
        <v>1</v>
      </c>
      <c r="J26" s="32">
        <f t="shared" si="1"/>
        <v>1</v>
      </c>
      <c r="K26" s="32">
        <f t="shared" si="1"/>
        <v>1</v>
      </c>
    </row>
    <row r="28" spans="2:14" s="6" customFormat="1">
      <c r="B28" s="6" t="s">
        <v>55</v>
      </c>
      <c r="G28" s="35"/>
      <c r="H28" s="35"/>
      <c r="I28" s="35"/>
      <c r="J28" s="35"/>
      <c r="K28" s="35"/>
    </row>
    <row r="30" spans="2:14" ht="14.45">
      <c r="B30" s="1" t="s">
        <v>76</v>
      </c>
    </row>
    <row r="31" spans="2:14">
      <c r="B31" t="s">
        <v>57</v>
      </c>
      <c r="D31" s="7" t="s">
        <v>43</v>
      </c>
      <c r="E31" s="7" t="s">
        <v>44</v>
      </c>
      <c r="F31" s="7" t="s">
        <v>40</v>
      </c>
      <c r="G31" s="30">
        <v>0.1</v>
      </c>
      <c r="H31" s="30">
        <v>0.1</v>
      </c>
      <c r="I31" s="30">
        <v>0.1</v>
      </c>
      <c r="J31" s="30">
        <v>0.1</v>
      </c>
      <c r="K31" s="30">
        <v>0.1</v>
      </c>
    </row>
    <row r="32" spans="2:14">
      <c r="B32" t="s">
        <v>58</v>
      </c>
      <c r="D32" s="7" t="s">
        <v>43</v>
      </c>
      <c r="E32" s="7" t="s">
        <v>44</v>
      </c>
      <c r="F32" s="7" t="s">
        <v>40</v>
      </c>
      <c r="G32" s="31">
        <v>0.01</v>
      </c>
      <c r="H32" s="31">
        <v>0.01</v>
      </c>
      <c r="I32" s="31">
        <v>0.01</v>
      </c>
      <c r="J32" s="31">
        <v>0.01</v>
      </c>
      <c r="K32" s="31">
        <v>0.01</v>
      </c>
    </row>
    <row r="34" spans="1:13">
      <c r="B34" t="s">
        <v>77</v>
      </c>
      <c r="D34" s="7" t="s">
        <v>47</v>
      </c>
      <c r="E34" s="7" t="s">
        <v>44</v>
      </c>
      <c r="F34" s="7" t="s">
        <v>40</v>
      </c>
      <c r="G34" s="25">
        <f>ROUND(G$18-(G$19-(G$19*(1-G31))),0)</f>
        <v>113</v>
      </c>
      <c r="H34" s="25">
        <f t="shared" ref="H34:K34" si="2">ROUND(H$18-(H$19-(H$19*(1-H31))),0)</f>
        <v>114</v>
      </c>
      <c r="I34" s="25">
        <f t="shared" si="2"/>
        <v>115</v>
      </c>
      <c r="J34" s="25">
        <f t="shared" si="2"/>
        <v>116</v>
      </c>
      <c r="K34" s="25">
        <f t="shared" si="2"/>
        <v>116</v>
      </c>
    </row>
    <row r="35" spans="1:13" ht="14.45">
      <c r="B35" t="s">
        <v>58</v>
      </c>
      <c r="D35" s="26" t="s">
        <v>38</v>
      </c>
      <c r="E35" s="7" t="s">
        <v>39</v>
      </c>
      <c r="F35" s="7" t="s">
        <v>40</v>
      </c>
      <c r="G35" s="25">
        <f>G$13*G32</f>
        <v>1314.1283240542127</v>
      </c>
      <c r="H35" s="25">
        <f t="shared" ref="H35:K35" si="3">H$13*H32</f>
        <v>1413.1632054071176</v>
      </c>
      <c r="I35" s="25">
        <f t="shared" si="3"/>
        <v>1461.7847037984905</v>
      </c>
      <c r="J35" s="25">
        <f t="shared" si="3"/>
        <v>1529.7959833489981</v>
      </c>
      <c r="K35" s="25">
        <f t="shared" si="3"/>
        <v>1602.0772697734897</v>
      </c>
    </row>
    <row r="36" spans="1:13">
      <c r="B36" t="s">
        <v>60</v>
      </c>
      <c r="D36" s="7" t="s">
        <v>43</v>
      </c>
      <c r="E36" s="7" t="s">
        <v>44</v>
      </c>
      <c r="F36" s="7" t="s">
        <v>40</v>
      </c>
      <c r="G36" s="32">
        <f>G35/G$14</f>
        <v>0.39664511859377344</v>
      </c>
      <c r="H36" s="32">
        <f t="shared" ref="H36:K36" si="4">H35/H$14</f>
        <v>0.40457422488035888</v>
      </c>
      <c r="I36" s="32">
        <f t="shared" si="4"/>
        <v>0.39478916569898653</v>
      </c>
      <c r="J36" s="32">
        <f t="shared" si="4"/>
        <v>0.38710211416094265</v>
      </c>
      <c r="K36" s="32">
        <f t="shared" si="4"/>
        <v>0.38289904477565267</v>
      </c>
    </row>
    <row r="37" spans="1:13" ht="14.45">
      <c r="B37" t="s">
        <v>78</v>
      </c>
      <c r="D37" s="7" t="s">
        <v>47</v>
      </c>
      <c r="E37" s="7" t="s">
        <v>44</v>
      </c>
      <c r="F37" s="7" t="s">
        <v>40</v>
      </c>
      <c r="G37" s="25">
        <f>G$18-(G$19-(G$19*(1-G36)))</f>
        <v>106.06228921530681</v>
      </c>
      <c r="H37" s="25">
        <f t="shared" ref="H37:K37" si="5">H$18-(H$19-(H$19*(1-H36)))</f>
        <v>106.42000316335792</v>
      </c>
      <c r="I37" s="25">
        <f t="shared" si="5"/>
        <v>107.18050340901945</v>
      </c>
      <c r="J37" s="25">
        <f t="shared" si="5"/>
        <v>108.00202049712165</v>
      </c>
      <c r="K37" s="25">
        <f t="shared" si="5"/>
        <v>108.5859693516654</v>
      </c>
      <c r="M37" s="11" t="s">
        <v>62</v>
      </c>
    </row>
    <row r="39" spans="1:13">
      <c r="B39" t="s">
        <v>79</v>
      </c>
      <c r="D39" s="7" t="s">
        <v>47</v>
      </c>
      <c r="E39" s="7" t="s">
        <v>44</v>
      </c>
      <c r="F39" s="7" t="s">
        <v>40</v>
      </c>
      <c r="G39" s="25">
        <f>G34-G37</f>
        <v>6.9377107846931949</v>
      </c>
      <c r="H39" s="25">
        <f>H34-H37</f>
        <v>7.5799968366420813</v>
      </c>
      <c r="I39" s="25">
        <f>I34-I37</f>
        <v>7.8194965909805489</v>
      </c>
      <c r="J39" s="25">
        <f>J34-J37</f>
        <v>7.9979795028783514</v>
      </c>
      <c r="K39" s="25">
        <f>K34-K37</f>
        <v>7.4140306483346023</v>
      </c>
    </row>
    <row r="40" spans="1:13">
      <c r="B40" t="s">
        <v>64</v>
      </c>
      <c r="D40" s="7" t="s">
        <v>43</v>
      </c>
      <c r="E40" s="7" t="s">
        <v>44</v>
      </c>
      <c r="F40" s="7" t="s">
        <v>40</v>
      </c>
      <c r="G40" s="32" t="str">
        <f>IF(OR(G21&gt;=G34,G21&lt;G37),"",(G21-G37)/G39)</f>
        <v/>
      </c>
      <c r="H40" s="32" t="str">
        <f>IF(OR(H21&gt;=H34,H21&lt;H37),"",(H21-H37)/H39)</f>
        <v/>
      </c>
      <c r="I40" s="32">
        <f>IF(OR(I21&gt;=I34,I21&lt;I37),"",(I21-I37)/I39)</f>
        <v>0.36057264789049415</v>
      </c>
      <c r="J40" s="32" t="str">
        <f>IF(OR(J21&gt;=J34,J21&lt;J37),"",(J21-J37)/J39)</f>
        <v/>
      </c>
      <c r="K40" s="32" t="str">
        <f>IF(OR(K21&gt;=K34,K21&lt;K37),"",(K21-K37)/K39)</f>
        <v/>
      </c>
    </row>
    <row r="42" spans="1:13" ht="14.45">
      <c r="B42" t="s">
        <v>65</v>
      </c>
      <c r="D42" s="26" t="s">
        <v>38</v>
      </c>
      <c r="E42" s="7" t="s">
        <v>39</v>
      </c>
      <c r="F42" s="7" t="s">
        <v>40</v>
      </c>
      <c r="G42" s="25">
        <f>IF(G21&gt;=G34,0,IF(G21&lt;G37,G35,(G35*(1-G40))))</f>
        <v>1314.1283240542127</v>
      </c>
      <c r="H42" s="25">
        <f>IF(H21&gt;=H34,0,IF(H21&lt;H37,H35,(H35*(1-H40))))</f>
        <v>0</v>
      </c>
      <c r="I42" s="25">
        <f>IF(I21&gt;=I34,0,IF(I21&lt;I37,I35,(I35*(1-I40))))</f>
        <v>934.70512250404704</v>
      </c>
      <c r="J42" s="25">
        <f>IF(J21&gt;=J34,0,IF(J21&lt;J37,J35,(J35*(1-J40))))</f>
        <v>0</v>
      </c>
      <c r="K42" s="25">
        <f>IF(K21&gt;=K34,0,IF(K21&lt;K37,K35,(K35*(1-K40))))</f>
        <v>0</v>
      </c>
    </row>
    <row r="44" spans="1:13" ht="14.45">
      <c r="B44" s="1" t="s">
        <v>68</v>
      </c>
    </row>
    <row r="45" spans="1:13" ht="14.45">
      <c r="B45" t="s">
        <v>65</v>
      </c>
      <c r="D45" s="26" t="s">
        <v>38</v>
      </c>
      <c r="E45" s="7" t="s">
        <v>39</v>
      </c>
      <c r="F45" s="7" t="s">
        <v>40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M45" s="11" t="s">
        <v>69</v>
      </c>
    </row>
    <row r="47" spans="1:13" s="6" customFormat="1">
      <c r="A47"/>
      <c r="B47" s="6" t="s">
        <v>70</v>
      </c>
      <c r="G47" s="35"/>
      <c r="H47" s="35"/>
      <c r="I47" s="35"/>
      <c r="J47" s="35"/>
      <c r="K47" s="35"/>
    </row>
    <row r="49" spans="1:33" ht="14.45">
      <c r="B49" t="s">
        <v>65</v>
      </c>
      <c r="D49" s="26" t="s">
        <v>38</v>
      </c>
      <c r="E49" s="7" t="s">
        <v>39</v>
      </c>
      <c r="F49" s="7" t="s">
        <v>40</v>
      </c>
      <c r="G49" s="25">
        <f>IF(G26&lt;0.9,G45,G42)</f>
        <v>1314.1283240542127</v>
      </c>
      <c r="H49" s="25">
        <f t="shared" ref="H49:K49" si="6">IF(H26&lt;0.9,H45,H42)</f>
        <v>0</v>
      </c>
      <c r="I49" s="25">
        <f t="shared" si="6"/>
        <v>934.70512250404704</v>
      </c>
      <c r="J49" s="25">
        <f t="shared" si="6"/>
        <v>0</v>
      </c>
      <c r="K49" s="25">
        <f t="shared" si="6"/>
        <v>0</v>
      </c>
    </row>
    <row r="52" spans="1:33" ht="21">
      <c r="A52" s="5"/>
      <c r="B52" s="5" t="s">
        <v>26</v>
      </c>
      <c r="C52" s="5"/>
      <c r="D52" s="5"/>
      <c r="E52" s="5"/>
      <c r="F52" s="5"/>
      <c r="G52" s="34"/>
      <c r="H52" s="34"/>
      <c r="I52" s="34"/>
      <c r="J52" s="34"/>
      <c r="K52" s="3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</sheetData>
  <conditionalFormatting sqref="A1:A6 A8 A13:A27 A29:A51 A53:A1048576">
    <cfRule type="containsText" dxfId="3" priority="3" operator="containsText" text="true">
      <formula>NOT(ISERROR(SEARCH("true",A1)))</formula>
    </cfRule>
    <cfRule type="containsText" dxfId="2" priority="4" operator="containsText" text="false">
      <formula>NOT(ISERROR(SEARCH("false",A1)))</formula>
    </cfRule>
  </conditionalFormatting>
  <conditionalFormatting sqref="B1:C1">
    <cfRule type="containsText" dxfId="1" priority="1" operator="containsText" text="true">
      <formula>NOT(ISERROR(SEARCH("true",B1)))</formula>
    </cfRule>
    <cfRule type="containsText" dxfId="0" priority="2" operator="containsText" text="false">
      <formula>NOT(ISERROR(SEARCH("false",B1)))</formula>
    </cfRule>
  </conditionalFormatting>
  <dataValidations count="2">
    <dataValidation allowBlank="1" showInputMessage="1" showErrorMessage="1" prompt="Sheet check" sqref="C1" xr:uid="{CA402680-B686-45EF-BFEA-83A726ADA87E}"/>
    <dataValidation allowBlank="1" showInputMessage="1" showErrorMessage="1" prompt="Global check" sqref="B1" xr:uid="{E2CF5E77-1C6B-4615-B7DE-A0F4AC008913}"/>
  </dataValidations>
  <pageMargins left="0.7" right="0.7" top="0.75" bottom="0.75" header="0.3" footer="0.3"/>
  <pageSetup paperSize="9" orientation="portrait" r:id="rId1"/>
  <headerFooter>
    <oddHeader>&amp;C&amp;"Arial"&amp;10&amp;K000000Classification: 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BCB96C69A120488E104D10F52496F4" ma:contentTypeVersion="8" ma:contentTypeDescription="Create a new document." ma:contentTypeScope="" ma:versionID="5253dfe19f9f028e1031030a966526c1">
  <xsd:schema xmlns:xsd="http://www.w3.org/2001/XMLSchema" xmlns:xs="http://www.w3.org/2001/XMLSchema" xmlns:p="http://schemas.microsoft.com/office/2006/metadata/properties" xmlns:ns1="http://schemas.microsoft.com/sharepoint/v3" xmlns:ns2="e82ee7ac-4e06-42c1-9f27-6483cc1a96b9" xmlns:ns3="44b15aa5-5e98-496d-a4bf-a5d585fc9f9e" xmlns:ns4="b739c596-5840-4914-b13f-4b7cdf7fdb38" xmlns:ns5="4624e2fa-07f2-4c28-9c20-56cae0ba287c" targetNamespace="http://schemas.microsoft.com/office/2006/metadata/properties" ma:root="true" ma:fieldsID="cdc1b8c653bea52174e01c3acd83ab90" ns1:_="" ns2:_="" ns3:_="" ns4:_="" ns5:_="">
    <xsd:import namespace="http://schemas.microsoft.com/sharepoint/v3"/>
    <xsd:import namespace="e82ee7ac-4e06-42c1-9f27-6483cc1a96b9"/>
    <xsd:import namespace="44b15aa5-5e98-496d-a4bf-a5d585fc9f9e"/>
    <xsd:import namespace="b739c596-5840-4914-b13f-4b7cdf7fdb38"/>
    <xsd:import namespace="4624e2fa-07f2-4c28-9c20-56cae0ba28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4:lcf76f155ced4ddcb4097134ff3c332f" minOccurs="0"/>
                <xsd:element ref="ns5:TaxCatchAll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ee7ac-4e06-42c1-9f27-6483cc1a96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15aa5-5e98-496d-a4bf-a5d585fc9f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9c596-5840-4914-b13f-4b7cdf7fdb3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005dcff-8200-4537-ab97-f1ad803949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4e2fa-07f2-4c28-9c20-56cae0ba287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18338c2-71b7-4674-b903-2695f90e05c4}" ma:internalName="TaxCatchAll" ma:showField="CatchAllData" ma:web="4624e2fa-07f2-4c28-9c20-56cae0ba28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39c596-5840-4914-b13f-4b7cdf7fdb38">
      <Terms xmlns="http://schemas.microsoft.com/office/infopath/2007/PartnerControls"/>
    </lcf76f155ced4ddcb4097134ff3c332f>
    <_ip_UnifiedCompliancePolicyUIAction xmlns="http://schemas.microsoft.com/sharepoint/v3" xsi:nil="true"/>
    <TaxCatchAll xmlns="4624e2fa-07f2-4c28-9c20-56cae0ba287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F69641-5DED-448B-B981-431D88F83416}"/>
</file>

<file path=customXml/itemProps2.xml><?xml version="1.0" encoding="utf-8"?>
<ds:datastoreItem xmlns:ds="http://schemas.openxmlformats.org/officeDocument/2006/customXml" ds:itemID="{E729FDD0-735A-4047-B781-C9F3D3B0C56E}"/>
</file>

<file path=customXml/itemProps3.xml><?xml version="1.0" encoding="utf-8"?>
<ds:datastoreItem xmlns:ds="http://schemas.openxmlformats.org/officeDocument/2006/customXml" ds:itemID="{1D2AF3EB-154C-4811-96D4-B33D8E364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Gurmaher Kooner1</dc:creator>
  <cp:keywords/>
  <dc:description/>
  <cp:lastModifiedBy>Brian O'MAHONY</cp:lastModifiedBy>
  <cp:revision/>
  <dcterms:created xsi:type="dcterms:W3CDTF">2019-03-29T15:24:40Z</dcterms:created>
  <dcterms:modified xsi:type="dcterms:W3CDTF">2025-07-09T06:04:45Z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5fec0-0d43-45d7-a620-951d84849968_Enabled">
    <vt:lpwstr>True</vt:lpwstr>
  </property>
  <property fmtid="{D5CDD505-2E9C-101B-9397-08002B2CF9AE}" pid="3" name="MSIP_Label_91e5fec0-0d43-45d7-a620-951d84849968_SiteId">
    <vt:lpwstr>2133b7ab-6392-452c-aa20-34afbe98608e</vt:lpwstr>
  </property>
  <property fmtid="{D5CDD505-2E9C-101B-9397-08002B2CF9AE}" pid="4" name="MSIP_Label_91e5fec0-0d43-45d7-a620-951d84849968_Owner">
    <vt:lpwstr>gurmaher.kooner@heathrow.com</vt:lpwstr>
  </property>
  <property fmtid="{D5CDD505-2E9C-101B-9397-08002B2CF9AE}" pid="5" name="MSIP_Label_91e5fec0-0d43-45d7-a620-951d84849968_SetDate">
    <vt:lpwstr>2019-04-03T10:32:39.3007325Z</vt:lpwstr>
  </property>
  <property fmtid="{D5CDD505-2E9C-101B-9397-08002B2CF9AE}" pid="6" name="MSIP_Label_91e5fec0-0d43-45d7-a620-951d84849968_Name">
    <vt:lpwstr>Internal</vt:lpwstr>
  </property>
  <property fmtid="{D5CDD505-2E9C-101B-9397-08002B2CF9AE}" pid="7" name="MSIP_Label_91e5fec0-0d43-45d7-a620-951d84849968_Application">
    <vt:lpwstr>Microsoft Azure Information Protection</vt:lpwstr>
  </property>
  <property fmtid="{D5CDD505-2E9C-101B-9397-08002B2CF9AE}" pid="8" name="MSIP_Label_91e5fec0-0d43-45d7-a620-951d84849968_Extended_MSFT_Method">
    <vt:lpwstr>Manual</vt:lpwstr>
  </property>
  <property fmtid="{D5CDD505-2E9C-101B-9397-08002B2CF9AE}" pid="9" name="Sensitivity">
    <vt:lpwstr>Internal</vt:lpwstr>
  </property>
  <property fmtid="{D5CDD505-2E9C-101B-9397-08002B2CF9AE}" pid="10" name="ContentTypeId">
    <vt:lpwstr>0x010100A5BCB96C69A120488E104D10F52496F4</vt:lpwstr>
  </property>
  <property fmtid="{D5CDD505-2E9C-101B-9397-08002B2CF9AE}" pid="11" name="MediaServiceImageTags">
    <vt:lpwstr/>
  </property>
</Properties>
</file>