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60" windowWidth="11310" windowHeight="8400" activeTab="3"/>
  </bookViews>
  <sheets>
    <sheet name="Front page" sheetId="1" r:id="rId1"/>
    <sheet name="Key Assumptions" sheetId="2" r:id="rId2"/>
    <sheet name="Annualised figures" sheetId="3" r:id="rId3"/>
    <sheet name="Scenario Comparison" sheetId="4" r:id="rId4"/>
    <sheet name="Data and assumptions" sheetId="5" r:id="rId5"/>
    <sheet name="Departing" sheetId="6" r:id="rId6"/>
    <sheet name="Airline delay" sheetId="7" r:id="rId7"/>
    <sheet name="Arriving" sheetId="8" r:id="rId8"/>
    <sheet name="Constrained" sheetId="9" r:id="rId9"/>
    <sheet name="Alternative Constrained" sheetId="10" r:id="rId10"/>
    <sheet name="Costs" sheetId="11" r:id="rId11"/>
    <sheet name="Summary" sheetId="12" r:id="rId12"/>
    <sheet name="NPV chart" sheetId="13" r:id="rId13"/>
    <sheet name="NPV" sheetId="14" r:id="rId14"/>
  </sheets>
  <definedNames/>
  <calcPr fullCalcOnLoad="1"/>
</workbook>
</file>

<file path=xl/sharedStrings.xml><?xml version="1.0" encoding="utf-8"?>
<sst xmlns="http://schemas.openxmlformats.org/spreadsheetml/2006/main" count="293" uniqueCount="171">
  <si>
    <t>Passengers</t>
  </si>
  <si>
    <t>Constrained loss</t>
  </si>
  <si>
    <t>Percentages</t>
  </si>
  <si>
    <t>Arriving</t>
  </si>
  <si>
    <t>Departing</t>
  </si>
  <si>
    <t>Constrained</t>
  </si>
  <si>
    <t>Unconstrained</t>
  </si>
  <si>
    <t>Allocation</t>
  </si>
  <si>
    <t>Ferry</t>
  </si>
  <si>
    <t>Stay home</t>
  </si>
  <si>
    <t>Stay Home</t>
  </si>
  <si>
    <t>Allocation of non-travellers</t>
  </si>
  <si>
    <t>Incremental cost</t>
  </si>
  <si>
    <t>Numbers</t>
  </si>
  <si>
    <t>Incremental costs</t>
  </si>
  <si>
    <t>Quality differential</t>
  </si>
  <si>
    <t>Peak hour</t>
  </si>
  <si>
    <t>Off-peak</t>
  </si>
  <si>
    <t>Based on Singapore data</t>
  </si>
  <si>
    <t>Explained in separate note</t>
  </si>
  <si>
    <t>Assumption</t>
  </si>
  <si>
    <t>Based on DAA survey data</t>
  </si>
  <si>
    <t>For both arriving and departing passengers</t>
  </si>
  <si>
    <t>Peak</t>
  </si>
  <si>
    <t>Quality costs</t>
  </si>
  <si>
    <t>Quality</t>
  </si>
  <si>
    <t>Total</t>
  </si>
  <si>
    <t>Delay costs</t>
  </si>
  <si>
    <t>Delay</t>
  </si>
  <si>
    <t>Year</t>
  </si>
  <si>
    <t>NPV</t>
  </si>
  <si>
    <t>2007-2020</t>
  </si>
  <si>
    <t>Belfast</t>
  </si>
  <si>
    <t>Annualised costs</t>
  </si>
  <si>
    <t>WACC</t>
  </si>
  <si>
    <t>Op Costs</t>
  </si>
  <si>
    <t>Costs</t>
  </si>
  <si>
    <t>Investment</t>
  </si>
  <si>
    <t>T2</t>
  </si>
  <si>
    <t>R2</t>
  </si>
  <si>
    <t>Opex</t>
  </si>
  <si>
    <t>Of capex</t>
  </si>
  <si>
    <t>Assume 40 year average life</t>
  </si>
  <si>
    <t>Passenger data:</t>
  </si>
  <si>
    <t>Unconstrained: 2006-2015 based on August 2006 DAA report - table 3.1a, beyond that based on simple assessment of the figures presented in the report</t>
  </si>
  <si>
    <t>Constrained: based on the 2005 DAA report for the EIA</t>
  </si>
  <si>
    <t>Airline costs</t>
  </si>
  <si>
    <t>Based on 1% of flights being delayed for 17 minutes</t>
  </si>
  <si>
    <t>Airline delay</t>
  </si>
  <si>
    <t>ATMs</t>
  </si>
  <si>
    <t>Airline delay: Assumption is that 50% of the increase in ATMs from 2006 experience delays of 17 minutes</t>
  </si>
  <si>
    <t>% of additional ATMs</t>
  </si>
  <si>
    <t>million</t>
  </si>
  <si>
    <t>Values</t>
  </si>
  <si>
    <t>€'000s</t>
  </si>
  <si>
    <t>Peak hour business %</t>
  </si>
  <si>
    <t>Off-peak business %</t>
  </si>
  <si>
    <t>Percentage that experience delays of 17 minutes, assumption</t>
  </si>
  <si>
    <t>Total Benefit</t>
  </si>
  <si>
    <t>Original</t>
  </si>
  <si>
    <t>Scenario</t>
  </si>
  <si>
    <t>Return</t>
  </si>
  <si>
    <t>Approach</t>
  </si>
  <si>
    <t>0 = WACC &amp; Depn</t>
  </si>
  <si>
    <t>Original cost data</t>
  </si>
  <si>
    <t>Annualised</t>
  </si>
  <si>
    <t>PED</t>
  </si>
  <si>
    <t>Average ticket price</t>
  </si>
  <si>
    <t>% change in quantity</t>
  </si>
  <si>
    <t>Required change in average price</t>
  </si>
  <si>
    <t>Approach adopted</t>
  </si>
  <si>
    <t>Coverage</t>
  </si>
  <si>
    <t>Runway</t>
  </si>
  <si>
    <t>Both</t>
  </si>
  <si>
    <t>Decision</t>
  </si>
  <si>
    <t>Terminal</t>
  </si>
  <si>
    <t>Note: assumption is that terminal constraint exists until 2010</t>
  </si>
  <si>
    <t>To use</t>
  </si>
  <si>
    <r>
      <t>Consumer surplus (0),</t>
    </r>
    <r>
      <rPr>
        <sz val="10"/>
        <rFont val="Arial"/>
        <family val="0"/>
      </rPr>
      <t xml:space="preserve"> Direct estimation (1)</t>
    </r>
  </si>
  <si>
    <t>Cap Maintenance</t>
  </si>
  <si>
    <t>Value of business time</t>
  </si>
  <si>
    <t>% for leisure time</t>
  </si>
  <si>
    <t>15 minute rule</t>
  </si>
  <si>
    <t>Direct</t>
  </si>
  <si>
    <t>Airline minutes</t>
  </si>
  <si>
    <t>Passenger minutes</t>
  </si>
  <si>
    <t>Av delay</t>
  </si>
  <si>
    <t>Airline cost</t>
  </si>
  <si>
    <t>Pass cost</t>
  </si>
  <si>
    <t>15 minute</t>
  </si>
  <si>
    <t>Per minute cost based on BA data reported in OEF study</t>
  </si>
  <si>
    <t>Average minutes delay</t>
  </si>
  <si>
    <t>€m</t>
  </si>
  <si>
    <t>Difference between the 8 and 10 minute rules</t>
  </si>
  <si>
    <t>Key Assumptions</t>
  </si>
  <si>
    <t>Approaches</t>
  </si>
  <si>
    <t>0=excluded, 1=included</t>
  </si>
  <si>
    <t>Constrained passenger costs</t>
  </si>
  <si>
    <t>Consumer surplus approach</t>
  </si>
  <si>
    <t>Direct estimation</t>
  </si>
  <si>
    <t>Estimation of airline delay costs</t>
  </si>
  <si>
    <t>All delays</t>
  </si>
  <si>
    <t>Above 15 minutes only</t>
  </si>
  <si>
    <t>Automatic</t>
  </si>
  <si>
    <t>Finance</t>
  </si>
  <si>
    <t>Social Discount Rate</t>
  </si>
  <si>
    <t>Assumptions</t>
  </si>
  <si>
    <t>€ per pax</t>
  </si>
  <si>
    <t>Value of time</t>
  </si>
  <si>
    <t>Busines</t>
  </si>
  <si>
    <t>Leisure</t>
  </si>
  <si>
    <t>€ per hour</t>
  </si>
  <si>
    <t>% of the business rate</t>
  </si>
  <si>
    <t>Peak as a % of total</t>
  </si>
  <si>
    <t>Terminal 2</t>
  </si>
  <si>
    <t>Runway 2</t>
  </si>
  <si>
    <t>% of capex</t>
  </si>
  <si>
    <t>SDR</t>
  </si>
  <si>
    <t>%</t>
  </si>
  <si>
    <t>€'000</t>
  </si>
  <si>
    <t>Airline delay €m</t>
  </si>
  <si>
    <t>Colour coding</t>
  </si>
  <si>
    <t>User entered assumption</t>
  </si>
  <si>
    <t>Copied assumption</t>
  </si>
  <si>
    <t>Combined</t>
  </si>
  <si>
    <t>Orig ben</t>
  </si>
  <si>
    <t>Orig cost</t>
  </si>
  <si>
    <t>Price elasticity of demand</t>
  </si>
  <si>
    <t>Based on 30 minutes - leisure time (€8.4) and business time (€21)</t>
  </si>
  <si>
    <t>Based on 15 minutes - leisure time (€8.4) and business time (€21)</t>
  </si>
  <si>
    <t>Assumption - see annex to overview document</t>
  </si>
  <si>
    <t>2009 op</t>
  </si>
  <si>
    <t>2010 op</t>
  </si>
  <si>
    <t>2011 op</t>
  </si>
  <si>
    <t>2012 op</t>
  </si>
  <si>
    <t>2013 op</t>
  </si>
  <si>
    <t>2014 op</t>
  </si>
  <si>
    <t>2015 op</t>
  </si>
  <si>
    <t>Annual</t>
  </si>
  <si>
    <t>Lumpsum</t>
  </si>
  <si>
    <t>T2 and R2 open in</t>
  </si>
  <si>
    <t>Annualised capex</t>
  </si>
  <si>
    <t>Lumpsum capex</t>
  </si>
  <si>
    <t>Year 1</t>
  </si>
  <si>
    <t>Year 2</t>
  </si>
  <si>
    <t>T2 &amp; R2</t>
  </si>
  <si>
    <t>ATC Tower</t>
  </si>
  <si>
    <t>Tower</t>
  </si>
  <si>
    <t>Orig Benefit</t>
  </si>
  <si>
    <t>Orig Cost</t>
  </si>
  <si>
    <t>Scen Benefit</t>
  </si>
  <si>
    <t>Scen Cost</t>
  </si>
  <si>
    <t>Cambridge Economc Policy Associates</t>
  </si>
  <si>
    <t>Version:</t>
  </si>
  <si>
    <t>Draft CBA model</t>
  </si>
  <si>
    <t>Note:</t>
  </si>
  <si>
    <t>This model has been prepared for CAR by Ian Alexander of CEPA.</t>
  </si>
  <si>
    <t>The model and the assumptions underlying the model are available for use by any interested party.</t>
  </si>
  <si>
    <t xml:space="preserve">The model should be used in conjunction with the draft report also available from the CAR website. </t>
  </si>
  <si>
    <t xml:space="preserve">While every effort has been made to ensure that this model is complete and correct, it should be used with care.  </t>
  </si>
  <si>
    <t>CEPA accept no liability for any decisions taken based on information included in this model.</t>
  </si>
  <si>
    <t>Any proposed changes to the model should be forwarded to ian.alexander@cepa.co.uk</t>
  </si>
  <si>
    <t>Using the model:</t>
  </si>
  <si>
    <t>Assumptions are set out in two sheets:</t>
  </si>
  <si>
    <t>Key assumptions includes the assumptions that are likely to be changed for scenarios</t>
  </si>
  <si>
    <t>Data and assumptions have some further fundamental assumptions that can be changed if basis proposals within the model are to be questioned</t>
  </si>
  <si>
    <r>
      <t xml:space="preserve">The Scenario comparison sheet provides a graphical illustration of any scenario against the </t>
    </r>
    <r>
      <rPr>
        <b/>
        <sz val="10"/>
        <rFont val="Arial"/>
        <family val="2"/>
      </rPr>
      <t>existing</t>
    </r>
    <r>
      <rPr>
        <sz val="10"/>
        <rFont val="Arial"/>
        <family val="0"/>
      </rPr>
      <t xml:space="preserve"> base case</t>
    </r>
  </si>
  <si>
    <t>If an alternative base case is needed then the information in the Summary sheet has to be changed to provide the new base for Scenario comparisons</t>
  </si>
  <si>
    <t>Commission for Aviation Regulation</t>
  </si>
  <si>
    <t>Prepared by</t>
  </si>
  <si>
    <t>Automatic calculation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</si>
</sst>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[$€-2]\ #,##0;[Red]\-[$€-2]\ #,##0"/>
    <numFmt numFmtId="167" formatCode="[$€-2]\ #,##0.0;[Red]\-[$€-2]\ #,##0.0"/>
    <numFmt numFmtId="168" formatCode="0.000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9" fontId="0" fillId="0" borderId="0" xfId="19" applyAlignment="1">
      <alignment/>
    </xf>
    <xf numFmtId="9" fontId="0" fillId="2" borderId="0" xfId="19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0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4" borderId="0" xfId="0" applyFill="1" applyAlignment="1">
      <alignment/>
    </xf>
    <xf numFmtId="9" fontId="5" fillId="0" borderId="0" xfId="19" applyFont="1" applyAlignment="1">
      <alignment/>
    </xf>
    <xf numFmtId="0" fontId="0" fillId="5" borderId="0" xfId="0" applyFill="1" applyAlignment="1">
      <alignment/>
    </xf>
    <xf numFmtId="9" fontId="0" fillId="5" borderId="0" xfId="0" applyNumberFormat="1" applyFill="1" applyAlignment="1">
      <alignment/>
    </xf>
    <xf numFmtId="1" fontId="0" fillId="5" borderId="0" xfId="0" applyNumberFormat="1" applyFill="1" applyAlignment="1">
      <alignment/>
    </xf>
    <xf numFmtId="9" fontId="0" fillId="5" borderId="0" xfId="19" applyFill="1" applyAlignment="1">
      <alignment/>
    </xf>
    <xf numFmtId="2" fontId="0" fillId="4" borderId="0" xfId="0" applyNumberFormat="1" applyFill="1" applyAlignment="1">
      <alignment/>
    </xf>
    <xf numFmtId="10" fontId="0" fillId="5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Alignment="1">
      <alignment/>
    </xf>
    <xf numFmtId="17" fontId="0" fillId="6" borderId="0" xfId="0" applyNumberFormat="1" applyFill="1" applyAlignment="1">
      <alignment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Summary!$H$3</c:f>
              <c:strCache>
                <c:ptCount val="1"/>
                <c:pt idx="0">
                  <c:v>Total Benefit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Summary!$G$4:$G$18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Summary!$H$4:$H$18</c:f>
              <c:numCache>
                <c:ptCount val="15"/>
                <c:pt idx="0">
                  <c:v>129914.038775</c:v>
                </c:pt>
                <c:pt idx="1">
                  <c:v>137614.67332499998</c:v>
                </c:pt>
                <c:pt idx="2">
                  <c:v>143229.250575</c:v>
                </c:pt>
                <c:pt idx="3">
                  <c:v>147630.45436786622</c:v>
                </c:pt>
                <c:pt idx="4">
                  <c:v>153697.52176927112</c:v>
                </c:pt>
                <c:pt idx="5">
                  <c:v>159071.22257143824</c:v>
                </c:pt>
                <c:pt idx="6">
                  <c:v>164797.15827473477</c:v>
                </c:pt>
                <c:pt idx="7">
                  <c:v>170171.09636148403</c:v>
                </c:pt>
                <c:pt idx="8">
                  <c:v>174966.92324516628</c:v>
                </c:pt>
                <c:pt idx="9">
                  <c:v>178274.94666168565</c:v>
                </c:pt>
                <c:pt idx="10">
                  <c:v>183950.5290340164</c:v>
                </c:pt>
                <c:pt idx="11">
                  <c:v>189848.5266920635</c:v>
                </c:pt>
                <c:pt idx="12">
                  <c:v>196567.73960384616</c:v>
                </c:pt>
                <c:pt idx="13">
                  <c:v>204146.2557708955</c:v>
                </c:pt>
                <c:pt idx="14">
                  <c:v>212596.43272536233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Summary!$I$3</c:f>
              <c:strCache>
                <c:ptCount val="1"/>
                <c:pt idx="0">
                  <c:v>Costs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Summary!$G$4:$G$18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Summary!$I$4:$I$18</c:f>
              <c:numCache>
                <c:ptCount val="15"/>
                <c:pt idx="3">
                  <c:v>189249.00000000003</c:v>
                </c:pt>
                <c:pt idx="4">
                  <c:v>189249.00000000003</c:v>
                </c:pt>
                <c:pt idx="5">
                  <c:v>189249.00000000003</c:v>
                </c:pt>
                <c:pt idx="6">
                  <c:v>189249.00000000003</c:v>
                </c:pt>
                <c:pt idx="7">
                  <c:v>189249.00000000003</c:v>
                </c:pt>
                <c:pt idx="8">
                  <c:v>189249.00000000003</c:v>
                </c:pt>
                <c:pt idx="9">
                  <c:v>189249.00000000003</c:v>
                </c:pt>
                <c:pt idx="10">
                  <c:v>189249.00000000003</c:v>
                </c:pt>
                <c:pt idx="11">
                  <c:v>189249.00000000003</c:v>
                </c:pt>
                <c:pt idx="12">
                  <c:v>189249.00000000003</c:v>
                </c:pt>
                <c:pt idx="13">
                  <c:v>189249.00000000003</c:v>
                </c:pt>
                <c:pt idx="14">
                  <c:v>189249.00000000003</c:v>
                </c:pt>
              </c:numCache>
            </c:numRef>
          </c:val>
          <c:smooth val="0"/>
        </c:ser>
        <c:marker val="1"/>
        <c:axId val="54621589"/>
        <c:axId val="21832254"/>
      </c:line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32254"/>
        <c:crosses val="autoZero"/>
        <c:auto val="1"/>
        <c:lblOffset val="100"/>
        <c:noMultiLvlLbl val="0"/>
      </c:catAx>
      <c:valAx>
        <c:axId val="21832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215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Summary!$L$3</c:f>
              <c:strCache>
                <c:ptCount val="1"/>
                <c:pt idx="0">
                  <c:v>Orig Benefit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Summary!$K$4:$K$18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Summary!$L$4:$L$18</c:f>
              <c:numCache>
                <c:ptCount val="15"/>
                <c:pt idx="0">
                  <c:v>129914.038775</c:v>
                </c:pt>
                <c:pt idx="1">
                  <c:v>137614.67332499998</c:v>
                </c:pt>
                <c:pt idx="2">
                  <c:v>143229.250575</c:v>
                </c:pt>
                <c:pt idx="3">
                  <c:v>147630.45436786622</c:v>
                </c:pt>
                <c:pt idx="4">
                  <c:v>153697.52176927112</c:v>
                </c:pt>
                <c:pt idx="5">
                  <c:v>159071.22257143824</c:v>
                </c:pt>
                <c:pt idx="6">
                  <c:v>164797.15827473477</c:v>
                </c:pt>
                <c:pt idx="7">
                  <c:v>170171.09636148403</c:v>
                </c:pt>
                <c:pt idx="8">
                  <c:v>174966.92324516628</c:v>
                </c:pt>
                <c:pt idx="9">
                  <c:v>178274.94666168565</c:v>
                </c:pt>
                <c:pt idx="10">
                  <c:v>183950.5290340164</c:v>
                </c:pt>
                <c:pt idx="11">
                  <c:v>189848.5266920635</c:v>
                </c:pt>
                <c:pt idx="12">
                  <c:v>196567.73960384616</c:v>
                </c:pt>
                <c:pt idx="13">
                  <c:v>204146.2557708955</c:v>
                </c:pt>
                <c:pt idx="14">
                  <c:v>212596.43272536233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Summary!$M$3</c:f>
              <c:strCache>
                <c:ptCount val="1"/>
                <c:pt idx="0">
                  <c:v>Orig Cost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Summary!$K$4:$K$18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Summary!$M$4:$M$18</c:f>
              <c:numCache>
                <c:ptCount val="15"/>
                <c:pt idx="3">
                  <c:v>189249</c:v>
                </c:pt>
                <c:pt idx="4">
                  <c:v>189249</c:v>
                </c:pt>
                <c:pt idx="5">
                  <c:v>189249</c:v>
                </c:pt>
                <c:pt idx="6">
                  <c:v>189249</c:v>
                </c:pt>
                <c:pt idx="7">
                  <c:v>189249</c:v>
                </c:pt>
                <c:pt idx="8">
                  <c:v>189249</c:v>
                </c:pt>
                <c:pt idx="9">
                  <c:v>189249</c:v>
                </c:pt>
                <c:pt idx="10">
                  <c:v>189249</c:v>
                </c:pt>
                <c:pt idx="11">
                  <c:v>189249</c:v>
                </c:pt>
                <c:pt idx="12">
                  <c:v>189249</c:v>
                </c:pt>
                <c:pt idx="13">
                  <c:v>189249</c:v>
                </c:pt>
                <c:pt idx="14">
                  <c:v>189249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Summary!$N$3</c:f>
              <c:strCache>
                <c:ptCount val="1"/>
                <c:pt idx="0">
                  <c:v>Scen Benefit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Summary!$K$4:$K$18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Summary!$N$4:$N$18</c:f>
              <c:numCache>
                <c:ptCount val="15"/>
                <c:pt idx="0">
                  <c:v>129914.038775</c:v>
                </c:pt>
                <c:pt idx="1">
                  <c:v>137614.67332499998</c:v>
                </c:pt>
                <c:pt idx="2">
                  <c:v>143229.250575</c:v>
                </c:pt>
                <c:pt idx="3">
                  <c:v>147630.45436786622</c:v>
                </c:pt>
                <c:pt idx="4">
                  <c:v>153697.52176927112</c:v>
                </c:pt>
                <c:pt idx="5">
                  <c:v>159071.22257143824</c:v>
                </c:pt>
                <c:pt idx="6">
                  <c:v>164797.15827473477</c:v>
                </c:pt>
                <c:pt idx="7">
                  <c:v>170171.09636148403</c:v>
                </c:pt>
                <c:pt idx="8">
                  <c:v>174966.92324516628</c:v>
                </c:pt>
                <c:pt idx="9">
                  <c:v>178274.94666168565</c:v>
                </c:pt>
                <c:pt idx="10">
                  <c:v>183950.5290340164</c:v>
                </c:pt>
                <c:pt idx="11">
                  <c:v>189848.5266920635</c:v>
                </c:pt>
                <c:pt idx="12">
                  <c:v>196567.73960384616</c:v>
                </c:pt>
                <c:pt idx="13">
                  <c:v>204146.2557708955</c:v>
                </c:pt>
                <c:pt idx="14">
                  <c:v>212596.43272536233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Summary!$O$3</c:f>
              <c:strCache>
                <c:ptCount val="1"/>
                <c:pt idx="0">
                  <c:v>Scen Cost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Summary!$K$4:$K$18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Summary!$O$4:$O$18</c:f>
              <c:numCache>
                <c:ptCount val="15"/>
                <c:pt idx="3">
                  <c:v>189249.00000000003</c:v>
                </c:pt>
                <c:pt idx="4">
                  <c:v>189249.00000000003</c:v>
                </c:pt>
                <c:pt idx="5">
                  <c:v>189249.00000000003</c:v>
                </c:pt>
                <c:pt idx="6">
                  <c:v>189249.00000000003</c:v>
                </c:pt>
                <c:pt idx="7">
                  <c:v>189249.00000000003</c:v>
                </c:pt>
                <c:pt idx="8">
                  <c:v>189249.00000000003</c:v>
                </c:pt>
                <c:pt idx="9">
                  <c:v>189249.00000000003</c:v>
                </c:pt>
                <c:pt idx="10">
                  <c:v>189249.00000000003</c:v>
                </c:pt>
                <c:pt idx="11">
                  <c:v>189249.00000000003</c:v>
                </c:pt>
                <c:pt idx="12">
                  <c:v>189249.00000000003</c:v>
                </c:pt>
                <c:pt idx="13">
                  <c:v>189249.00000000003</c:v>
                </c:pt>
                <c:pt idx="14">
                  <c:v>189249.00000000003</c:v>
                </c:pt>
              </c:numCache>
            </c:numRef>
          </c:val>
          <c:smooth val="0"/>
        </c:ser>
        <c:marker val="1"/>
        <c:axId val="62272559"/>
        <c:axId val="23582120"/>
      </c:line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82120"/>
        <c:crosses val="autoZero"/>
        <c:auto val="1"/>
        <c:lblOffset val="100"/>
        <c:noMultiLvlLbl val="0"/>
      </c:catAx>
      <c:valAx>
        <c:axId val="23582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2725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NPV!$N$16</c:f>
              <c:strCache>
                <c:ptCount val="1"/>
                <c:pt idx="0">
                  <c:v>Annualised capex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NPV!$M$17:$M$23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NPV!$N$17:$N$23</c:f>
              <c:numCache>
                <c:ptCount val="7"/>
                <c:pt idx="0">
                  <c:v>-155190.6960749307</c:v>
                </c:pt>
                <c:pt idx="1">
                  <c:v>-120114.95656294958</c:v>
                </c:pt>
                <c:pt idx="2">
                  <c:v>-91701.76050204292</c:v>
                </c:pt>
                <c:pt idx="3">
                  <c:v>-68747.71959718995</c:v>
                </c:pt>
                <c:pt idx="4">
                  <c:v>-50849.13551150558</c:v>
                </c:pt>
                <c:pt idx="5">
                  <c:v>-37219.48410477685</c:v>
                </c:pt>
                <c:pt idx="6">
                  <c:v>-27051.397381578423</c:v>
                </c:pt>
              </c:numCache>
            </c:numRef>
          </c:val>
        </c:ser>
        <c:ser>
          <c:idx val="2"/>
          <c:order val="1"/>
          <c:tx>
            <c:strRef>
              <c:f>NPV!$O$16</c:f>
              <c:strCache>
                <c:ptCount val="1"/>
                <c:pt idx="0">
                  <c:v>Lumpsum capex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NPV!$M$17:$M$23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NPV!$O$17:$O$23</c:f>
              <c:numCache>
                <c:ptCount val="7"/>
                <c:pt idx="0">
                  <c:v>-340065.58554149995</c:v>
                </c:pt>
                <c:pt idx="1">
                  <c:v>-314708.31127025513</c:v>
                </c:pt>
                <c:pt idx="2">
                  <c:v>-295343.9655266076</c:v>
                </c:pt>
                <c:pt idx="3">
                  <c:v>-280815.2973566328</c:v>
                </c:pt>
                <c:pt idx="4">
                  <c:v>-270761.56684159837</c:v>
                </c:pt>
                <c:pt idx="5">
                  <c:v>-264436.2483684358</c:v>
                </c:pt>
                <c:pt idx="6">
                  <c:v>-261069.21651820396</c:v>
                </c:pt>
              </c:numCache>
            </c:numRef>
          </c:val>
        </c:ser>
        <c:axId val="10912489"/>
        <c:axId val="31103538"/>
      </c:bar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03538"/>
        <c:crosses val="autoZero"/>
        <c:auto val="1"/>
        <c:lblOffset val="100"/>
        <c:noMultiLvlLbl val="0"/>
      </c:catAx>
      <c:valAx>
        <c:axId val="31103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12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3" sqref="A13"/>
    </sheetView>
  </sheetViews>
  <sheetFormatPr defaultColWidth="9.140625" defaultRowHeight="12.75"/>
  <cols>
    <col min="1" max="1" width="16.00390625" style="0" customWidth="1"/>
  </cols>
  <sheetData>
    <row r="1" spans="1:11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3.25">
      <c r="A3" s="30"/>
      <c r="B3" s="30"/>
      <c r="C3" s="30"/>
      <c r="D3" s="30"/>
      <c r="E3" s="33" t="s">
        <v>168</v>
      </c>
      <c r="F3" s="30"/>
      <c r="G3" s="30"/>
      <c r="H3" s="30"/>
      <c r="I3" s="30"/>
      <c r="J3" s="30"/>
      <c r="K3" s="30"/>
    </row>
    <row r="4" spans="1:11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3.25">
      <c r="A5" s="30"/>
      <c r="B5" s="30"/>
      <c r="C5" s="30"/>
      <c r="D5" s="30"/>
      <c r="E5" s="33" t="s">
        <v>154</v>
      </c>
      <c r="F5" s="30"/>
      <c r="G5" s="30"/>
      <c r="H5" s="30"/>
      <c r="I5" s="30"/>
      <c r="J5" s="30"/>
      <c r="K5" s="30"/>
    </row>
    <row r="6" spans="1:11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8">
      <c r="A7" s="30"/>
      <c r="B7" s="30"/>
      <c r="C7" s="30"/>
      <c r="D7" s="30"/>
      <c r="E7" s="34" t="s">
        <v>169</v>
      </c>
      <c r="F7" s="30"/>
      <c r="G7" s="30"/>
      <c r="H7" s="30"/>
      <c r="I7" s="30"/>
      <c r="J7" s="30"/>
      <c r="K7" s="30"/>
    </row>
    <row r="8" spans="1:1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23.25">
      <c r="A9" s="30"/>
      <c r="B9" s="30"/>
      <c r="C9" s="30"/>
      <c r="D9" s="30"/>
      <c r="E9" s="33" t="s">
        <v>152</v>
      </c>
      <c r="F9" s="30"/>
      <c r="G9" s="30"/>
      <c r="H9" s="30"/>
      <c r="I9" s="30"/>
      <c r="J9" s="30"/>
      <c r="K9" s="30"/>
    </row>
    <row r="10" spans="1:11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1" t="s">
        <v>153</v>
      </c>
      <c r="B11" s="32">
        <v>39134</v>
      </c>
      <c r="C11" s="30"/>
      <c r="D11" s="30"/>
      <c r="E11" s="30"/>
      <c r="F11" s="30"/>
      <c r="G11" s="30"/>
      <c r="H11" s="30"/>
      <c r="I11" s="30"/>
      <c r="J11" s="30"/>
      <c r="K11" s="30"/>
    </row>
    <row r="15" spans="1:2" ht="12.75">
      <c r="A15" s="18" t="s">
        <v>155</v>
      </c>
      <c r="B15" t="s">
        <v>156</v>
      </c>
    </row>
    <row r="16" ht="12.75">
      <c r="B16" t="s">
        <v>157</v>
      </c>
    </row>
    <row r="17" ht="12.75">
      <c r="B17" t="s">
        <v>158</v>
      </c>
    </row>
    <row r="18" ht="12.75">
      <c r="B18" t="s">
        <v>159</v>
      </c>
    </row>
    <row r="19" ht="12.75">
      <c r="B19" t="s">
        <v>160</v>
      </c>
    </row>
    <row r="20" ht="12.75">
      <c r="B20" t="s">
        <v>161</v>
      </c>
    </row>
    <row r="23" spans="1:2" ht="12.75">
      <c r="A23" s="18" t="s">
        <v>162</v>
      </c>
      <c r="B23" t="s">
        <v>163</v>
      </c>
    </row>
    <row r="24" ht="12.75">
      <c r="B24" t="s">
        <v>164</v>
      </c>
    </row>
    <row r="25" ht="12.75">
      <c r="B25" t="s">
        <v>165</v>
      </c>
    </row>
    <row r="26" ht="12.75">
      <c r="B26" t="s">
        <v>166</v>
      </c>
    </row>
    <row r="27" ht="12.75">
      <c r="B27" t="s">
        <v>167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C2:Y41"/>
  <sheetViews>
    <sheetView workbookViewId="0" topLeftCell="A1">
      <selection activeCell="O20" sqref="O20"/>
    </sheetView>
  </sheetViews>
  <sheetFormatPr defaultColWidth="9.140625" defaultRowHeight="12.75"/>
  <cols>
    <col min="5" max="5" width="8.7109375" style="0" customWidth="1"/>
    <col min="12" max="12" width="10.140625" style="0" customWidth="1"/>
    <col min="13" max="13" width="9.7109375" style="0" customWidth="1"/>
  </cols>
  <sheetData>
    <row r="2" spans="3:24" ht="12.75">
      <c r="C2" t="s">
        <v>53</v>
      </c>
      <c r="D2" t="s">
        <v>54</v>
      </c>
      <c r="L2" t="s">
        <v>59</v>
      </c>
      <c r="N2" t="s">
        <v>60</v>
      </c>
      <c r="Q2" t="s">
        <v>64</v>
      </c>
      <c r="T2" t="s">
        <v>124</v>
      </c>
      <c r="V2" t="s">
        <v>72</v>
      </c>
      <c r="X2" t="s">
        <v>75</v>
      </c>
    </row>
    <row r="3" spans="3:25" ht="12.75">
      <c r="C3" t="s">
        <v>29</v>
      </c>
      <c r="D3" t="s">
        <v>4</v>
      </c>
      <c r="E3" t="s">
        <v>3</v>
      </c>
      <c r="F3" t="s">
        <v>5</v>
      </c>
      <c r="G3" t="s">
        <v>29</v>
      </c>
      <c r="H3" t="s">
        <v>58</v>
      </c>
      <c r="I3" t="s">
        <v>36</v>
      </c>
      <c r="K3" t="s">
        <v>29</v>
      </c>
      <c r="L3" t="s">
        <v>148</v>
      </c>
      <c r="M3" t="s">
        <v>149</v>
      </c>
      <c r="N3" t="s">
        <v>150</v>
      </c>
      <c r="O3" t="s">
        <v>151</v>
      </c>
      <c r="Q3" t="s">
        <v>34</v>
      </c>
      <c r="R3" t="s">
        <v>65</v>
      </c>
      <c r="T3" t="s">
        <v>125</v>
      </c>
      <c r="U3" t="s">
        <v>126</v>
      </c>
      <c r="V3" t="s">
        <v>125</v>
      </c>
      <c r="W3" t="s">
        <v>126</v>
      </c>
      <c r="X3" t="s">
        <v>125</v>
      </c>
      <c r="Y3" t="s">
        <v>126</v>
      </c>
    </row>
    <row r="4" spans="3:25" ht="12.75">
      <c r="C4">
        <v>2006</v>
      </c>
      <c r="D4" s="4">
        <f>Departing!R3</f>
        <v>80034.65752499999</v>
      </c>
      <c r="E4" s="4">
        <f>Arriving!I3</f>
        <v>49879.381250000006</v>
      </c>
      <c r="F4" s="4">
        <f>IF('Data and assumptions'!$F$38=0,'Alternative Constrained'!S4,Constrained!Q4)</f>
        <v>0</v>
      </c>
      <c r="G4">
        <v>2006</v>
      </c>
      <c r="H4" s="4">
        <f>SUM(D4:F4)</f>
        <v>129914.038775</v>
      </c>
      <c r="K4">
        <v>2006</v>
      </c>
      <c r="L4" s="4">
        <f>IF('Data and assumptions'!$G$2=2,Summary!T4,IF('Data and assumptions'!$G$2=1,Summary!V4,Summary!X4))</f>
        <v>129914.038775</v>
      </c>
      <c r="M4" s="4"/>
      <c r="N4" s="4">
        <f>H4</f>
        <v>129914.038775</v>
      </c>
      <c r="T4" s="4">
        <v>129914.038775</v>
      </c>
      <c r="U4" s="4"/>
      <c r="V4" s="4">
        <v>10369.363149999997</v>
      </c>
      <c r="W4" s="4"/>
      <c r="X4" s="4">
        <v>119544.675625</v>
      </c>
      <c r="Y4" s="4"/>
    </row>
    <row r="5" spans="3:25" ht="12.75">
      <c r="C5">
        <v>2007</v>
      </c>
      <c r="D5" s="4">
        <f>Departing!R4</f>
        <v>84690.379575</v>
      </c>
      <c r="E5" s="4">
        <f>Arriving!I4</f>
        <v>52924.29375</v>
      </c>
      <c r="F5" s="4">
        <f>IF('Data and assumptions'!$F$38=0,'Alternative Constrained'!S5,Constrained!Q5)</f>
        <v>0</v>
      </c>
      <c r="G5">
        <v>2007</v>
      </c>
      <c r="H5" s="4">
        <f aca="true" t="shared" si="0" ref="H5:H18">SUM(D5:F5)</f>
        <v>137614.67332499998</v>
      </c>
      <c r="K5">
        <v>2007</v>
      </c>
      <c r="L5" s="4">
        <f>IF('Data and assumptions'!$G$2=2,Summary!T5,IF('Data and assumptions'!$G$2=1,Summary!V5,Summary!X5))</f>
        <v>137614.67332499998</v>
      </c>
      <c r="M5" s="4"/>
      <c r="N5" s="4">
        <f aca="true" t="shared" si="1" ref="N5:N18">H5</f>
        <v>137614.67332499998</v>
      </c>
      <c r="T5" s="4">
        <v>137614.67332499998</v>
      </c>
      <c r="U5" s="4"/>
      <c r="V5" s="4">
        <v>10772.33145</v>
      </c>
      <c r="W5" s="4"/>
      <c r="X5" s="4">
        <v>126842.341875</v>
      </c>
      <c r="Y5" s="4"/>
    </row>
    <row r="6" spans="3:25" ht="12.75">
      <c r="C6">
        <v>2008</v>
      </c>
      <c r="D6" s="4">
        <f>Departing!R5</f>
        <v>88090.919325</v>
      </c>
      <c r="E6" s="4">
        <f>Arriving!I5</f>
        <v>55138.33125</v>
      </c>
      <c r="F6" s="4">
        <f>IF('Data and assumptions'!$F$38=0,'Alternative Constrained'!S6,Constrained!Q6)</f>
        <v>0</v>
      </c>
      <c r="G6">
        <v>2008</v>
      </c>
      <c r="H6" s="4">
        <f t="shared" si="0"/>
        <v>143229.250575</v>
      </c>
      <c r="K6">
        <v>2008</v>
      </c>
      <c r="L6" s="4">
        <f>IF('Data and assumptions'!$G$2=2,Summary!T6,IF('Data and assumptions'!$G$2=1,Summary!V6,Summary!X6))</f>
        <v>143229.250575</v>
      </c>
      <c r="M6" s="4"/>
      <c r="N6" s="4">
        <f t="shared" si="1"/>
        <v>143229.250575</v>
      </c>
      <c r="T6" s="4">
        <v>143229.250575</v>
      </c>
      <c r="U6" s="4"/>
      <c r="V6" s="4">
        <v>11080.579950000001</v>
      </c>
      <c r="W6" s="4"/>
      <c r="X6" s="4">
        <v>132148.670625</v>
      </c>
      <c r="Y6" s="4"/>
    </row>
    <row r="7" spans="3:25" ht="12.75">
      <c r="C7">
        <v>2009</v>
      </c>
      <c r="D7" s="4">
        <f>Departing!R6</f>
        <v>90652.119975</v>
      </c>
      <c r="E7" s="4">
        <f>Arriving!I6</f>
        <v>56795.19375</v>
      </c>
      <c r="F7" s="4">
        <f>IF('Data and assumptions'!$F$38=0,'Alternative Constrained'!S7,Constrained!Q7)</f>
        <v>183.14064286621775</v>
      </c>
      <c r="G7">
        <v>2009</v>
      </c>
      <c r="H7" s="4">
        <f t="shared" si="0"/>
        <v>147630.45436786622</v>
      </c>
      <c r="I7">
        <f>Costs!M6*1000</f>
        <v>189249.00000000003</v>
      </c>
      <c r="K7">
        <v>2009</v>
      </c>
      <c r="L7" s="4">
        <f>IF('Data and assumptions'!$G$2=2,Summary!T7,IF('Data and assumptions'!$G$2=1,Summary!V7,Summary!X7))</f>
        <v>147630.45436786622</v>
      </c>
      <c r="M7" s="4">
        <f>IF('Data and assumptions'!$G$2=2,Summary!U7,IF('Data and assumptions'!$G$2=1,Summary!W7,Summary!Y7))</f>
        <v>189249</v>
      </c>
      <c r="N7" s="4">
        <f t="shared" si="1"/>
        <v>147630.45436786622</v>
      </c>
      <c r="O7">
        <f>I7</f>
        <v>189249.00000000003</v>
      </c>
      <c r="Q7" s="4">
        <v>180692</v>
      </c>
      <c r="R7" s="4">
        <v>171018.67658737762</v>
      </c>
      <c r="T7" s="4">
        <v>147630.45436786622</v>
      </c>
      <c r="U7" s="4">
        <v>189249</v>
      </c>
      <c r="V7" s="4">
        <v>11327.681849999999</v>
      </c>
      <c r="W7" s="4">
        <v>38606</v>
      </c>
      <c r="X7" s="4">
        <v>137330.15903694468</v>
      </c>
      <c r="Y7" s="4">
        <v>159399</v>
      </c>
    </row>
    <row r="8" spans="3:25" ht="12.75">
      <c r="C8">
        <v>2010</v>
      </c>
      <c r="D8" s="4">
        <f>Departing!R7</f>
        <v>94226.48572499999</v>
      </c>
      <c r="E8" s="4">
        <f>Arriving!I7</f>
        <v>59126.53125</v>
      </c>
      <c r="F8" s="4">
        <f>IF('Data and assumptions'!$F$38=0,'Alternative Constrained'!S8,Constrained!Q8)</f>
        <v>344.5047942711494</v>
      </c>
      <c r="G8">
        <v>2010</v>
      </c>
      <c r="H8" s="4">
        <f t="shared" si="0"/>
        <v>153697.52176927112</v>
      </c>
      <c r="I8">
        <f>Costs!M7*1000</f>
        <v>189249.00000000003</v>
      </c>
      <c r="K8">
        <v>2010</v>
      </c>
      <c r="L8" s="4">
        <f>IF('Data and assumptions'!$G$2=2,Summary!T8,IF('Data and assumptions'!$G$2=1,Summary!V8,Summary!X8))</f>
        <v>153697.52176927112</v>
      </c>
      <c r="M8" s="4">
        <f>IF('Data and assumptions'!$G$2=2,Summary!U8,IF('Data and assumptions'!$G$2=1,Summary!W8,Summary!Y8))</f>
        <v>189249</v>
      </c>
      <c r="N8" s="4">
        <f t="shared" si="1"/>
        <v>153697.52176927112</v>
      </c>
      <c r="O8">
        <f aca="true" t="shared" si="2" ref="O8:O18">I8</f>
        <v>189249.00000000003</v>
      </c>
      <c r="Q8" s="4">
        <v>180692</v>
      </c>
      <c r="R8" s="4">
        <v>171018.67658737762</v>
      </c>
      <c r="T8" s="4">
        <v>153697.52176927112</v>
      </c>
      <c r="U8" s="4">
        <v>189249</v>
      </c>
      <c r="V8" s="4">
        <v>11645.92635</v>
      </c>
      <c r="W8" s="4">
        <v>38606</v>
      </c>
      <c r="X8" s="4">
        <v>142051.59541927115</v>
      </c>
      <c r="Y8" s="4">
        <v>159399</v>
      </c>
    </row>
    <row r="9" spans="3:25" ht="12.75">
      <c r="C9">
        <v>2011</v>
      </c>
      <c r="D9" s="4">
        <f>Departing!R8</f>
        <v>97184.60324999999</v>
      </c>
      <c r="E9" s="4">
        <f>Arriving!I8</f>
        <v>60912.912500000006</v>
      </c>
      <c r="F9" s="4">
        <f>IF('Data and assumptions'!$F$38=0,'Alternative Constrained'!S9,Constrained!Q9)</f>
        <v>973.7068214382526</v>
      </c>
      <c r="G9">
        <v>2011</v>
      </c>
      <c r="H9" s="4">
        <f t="shared" si="0"/>
        <v>159071.22257143824</v>
      </c>
      <c r="I9">
        <f>Costs!M8*1000</f>
        <v>189249.00000000003</v>
      </c>
      <c r="K9">
        <v>2011</v>
      </c>
      <c r="L9" s="4">
        <f>IF('Data and assumptions'!$G$2=2,Summary!T9,IF('Data and assumptions'!$G$2=1,Summary!V9,Summary!X9))</f>
        <v>159071.22257143824</v>
      </c>
      <c r="M9" s="4">
        <f>IF('Data and assumptions'!$G$2=2,Summary!U9,IF('Data and assumptions'!$G$2=1,Summary!W9,Summary!Y9))</f>
        <v>189249</v>
      </c>
      <c r="N9" s="4">
        <f t="shared" si="1"/>
        <v>159071.22257143824</v>
      </c>
      <c r="O9">
        <f t="shared" si="2"/>
        <v>189249.00000000003</v>
      </c>
      <c r="Q9" s="4">
        <v>180692</v>
      </c>
      <c r="R9" s="4">
        <v>171018.67658737762</v>
      </c>
      <c r="T9" s="4">
        <v>159071.22257143824</v>
      </c>
      <c r="U9" s="4">
        <v>189249</v>
      </c>
      <c r="V9" s="4">
        <v>12738.251527167102</v>
      </c>
      <c r="W9" s="4">
        <v>38606</v>
      </c>
      <c r="X9" s="4">
        <v>146962.17307143824</v>
      </c>
      <c r="Y9" s="4">
        <v>159399</v>
      </c>
    </row>
    <row r="10" spans="3:25" ht="12.75">
      <c r="C10">
        <v>2012</v>
      </c>
      <c r="D10" s="4">
        <f>Departing!R9</f>
        <v>100642.19692499998</v>
      </c>
      <c r="E10" s="4">
        <f>Arriving!I9</f>
        <v>63114.731250000004</v>
      </c>
      <c r="F10" s="4">
        <f>IF('Data and assumptions'!$F$38=0,'Alternative Constrained'!S10,Constrained!Q10)</f>
        <v>1040.2300997347875</v>
      </c>
      <c r="G10">
        <v>2012</v>
      </c>
      <c r="H10" s="4">
        <f t="shared" si="0"/>
        <v>164797.15827473477</v>
      </c>
      <c r="I10">
        <f>Costs!M9*1000</f>
        <v>189249.00000000003</v>
      </c>
      <c r="K10">
        <v>2012</v>
      </c>
      <c r="L10" s="4">
        <f>IF('Data and assumptions'!$G$2=2,Summary!T10,IF('Data and assumptions'!$G$2=1,Summary!V10,Summary!X10))</f>
        <v>164797.15827473477</v>
      </c>
      <c r="M10" s="4">
        <f>IF('Data and assumptions'!$G$2=2,Summary!U10,IF('Data and assumptions'!$G$2=1,Summary!W10,Summary!Y10))</f>
        <v>189249</v>
      </c>
      <c r="N10" s="4">
        <f t="shared" si="1"/>
        <v>164797.15827473477</v>
      </c>
      <c r="O10">
        <f t="shared" si="2"/>
        <v>189249.00000000003</v>
      </c>
      <c r="Q10" s="4">
        <v>180692</v>
      </c>
      <c r="R10" s="4">
        <v>171018.67658737762</v>
      </c>
      <c r="T10" s="4">
        <v>164797.15827473477</v>
      </c>
      <c r="U10" s="4">
        <v>189249</v>
      </c>
      <c r="V10" s="4">
        <v>13187.142855463639</v>
      </c>
      <c r="W10" s="4">
        <v>38606</v>
      </c>
      <c r="X10" s="4">
        <v>152305.7407247348</v>
      </c>
      <c r="Y10" s="4">
        <v>159399</v>
      </c>
    </row>
    <row r="11" spans="3:25" ht="12.75">
      <c r="C11">
        <v>2013</v>
      </c>
      <c r="D11" s="4">
        <f>Departing!R10</f>
        <v>103865.221125</v>
      </c>
      <c r="E11" s="4">
        <f>Arriving!I10</f>
        <v>65167.481250000004</v>
      </c>
      <c r="F11" s="4">
        <f>IF('Data and assumptions'!$F$38=0,'Alternative Constrained'!S11,Constrained!Q11)</f>
        <v>1138.3939864840447</v>
      </c>
      <c r="G11">
        <v>2013</v>
      </c>
      <c r="H11" s="4">
        <f t="shared" si="0"/>
        <v>170171.09636148403</v>
      </c>
      <c r="I11">
        <f>Costs!M10*1000</f>
        <v>189249.00000000003</v>
      </c>
      <c r="K11">
        <v>2013</v>
      </c>
      <c r="L11" s="4">
        <f>IF('Data and assumptions'!$G$2=2,Summary!T11,IF('Data and assumptions'!$G$2=1,Summary!V11,Summary!X11))</f>
        <v>170171.09636148403</v>
      </c>
      <c r="M11" s="4">
        <f>IF('Data and assumptions'!$G$2=2,Summary!U11,IF('Data and assumptions'!$G$2=1,Summary!W11,Summary!Y11))</f>
        <v>189249</v>
      </c>
      <c r="N11" s="4">
        <f t="shared" si="1"/>
        <v>170171.09636148403</v>
      </c>
      <c r="O11">
        <f t="shared" si="2"/>
        <v>189249.00000000003</v>
      </c>
      <c r="Q11" s="4">
        <v>180692</v>
      </c>
      <c r="R11" s="4">
        <v>171018.67658737762</v>
      </c>
      <c r="T11" s="4">
        <v>170171.09636148403</v>
      </c>
      <c r="U11" s="4">
        <v>189249</v>
      </c>
      <c r="V11" s="4">
        <v>13641.305942212894</v>
      </c>
      <c r="W11" s="4">
        <v>38606</v>
      </c>
      <c r="X11" s="4">
        <v>157323.67961148403</v>
      </c>
      <c r="Y11" s="4">
        <v>159399</v>
      </c>
    </row>
    <row r="12" spans="3:25" ht="12.75">
      <c r="C12">
        <v>2014</v>
      </c>
      <c r="D12" s="4">
        <f>Departing!R11</f>
        <v>106584.87419999999</v>
      </c>
      <c r="E12" s="4">
        <f>Arriving!I11</f>
        <v>66880.55</v>
      </c>
      <c r="F12" s="4">
        <f>IF('Data and assumptions'!$F$38=0,'Alternative Constrained'!S12,Constrained!Q12)</f>
        <v>1501.4990451662636</v>
      </c>
      <c r="G12">
        <v>2014</v>
      </c>
      <c r="H12" s="4">
        <f t="shared" si="0"/>
        <v>174966.92324516628</v>
      </c>
      <c r="I12">
        <f>Costs!M11*1000</f>
        <v>189249.00000000003</v>
      </c>
      <c r="K12">
        <v>2014</v>
      </c>
      <c r="L12" s="4">
        <f>IF('Data and assumptions'!$G$2=2,Summary!T12,IF('Data and assumptions'!$G$2=1,Summary!V12,Summary!X12))</f>
        <v>174966.92324516628</v>
      </c>
      <c r="M12" s="4">
        <f>IF('Data and assumptions'!$G$2=2,Summary!U12,IF('Data and assumptions'!$G$2=1,Summary!W12,Summary!Y12))</f>
        <v>189249</v>
      </c>
      <c r="N12" s="4">
        <f t="shared" si="1"/>
        <v>174966.92324516628</v>
      </c>
      <c r="O12">
        <f t="shared" si="2"/>
        <v>189249.00000000003</v>
      </c>
      <c r="Q12" s="4">
        <v>180692</v>
      </c>
      <c r="R12" s="4">
        <v>171018.67658737762</v>
      </c>
      <c r="T12" s="4">
        <v>174966.92324516628</v>
      </c>
      <c r="U12" s="4">
        <v>189249</v>
      </c>
      <c r="V12" s="4">
        <v>14331.463450895111</v>
      </c>
      <c r="W12" s="4">
        <v>38606</v>
      </c>
      <c r="X12" s="4">
        <v>161792.4540451663</v>
      </c>
      <c r="Y12" s="4">
        <v>159399</v>
      </c>
    </row>
    <row r="13" spans="3:25" ht="12.75">
      <c r="C13">
        <v>2015</v>
      </c>
      <c r="D13" s="4">
        <f>Departing!R12</f>
        <v>107269.92945000001</v>
      </c>
      <c r="E13" s="4">
        <f>Arriving!I12</f>
        <v>67227.5625</v>
      </c>
      <c r="F13" s="4">
        <f>IF('Data and assumptions'!$F$38=0,'Alternative Constrained'!S13,Constrained!Q13)</f>
        <v>3777.45471168566</v>
      </c>
      <c r="G13">
        <v>2015</v>
      </c>
      <c r="H13" s="4">
        <f t="shared" si="0"/>
        <v>178274.94666168565</v>
      </c>
      <c r="I13">
        <f>Costs!M12*1000</f>
        <v>189249.00000000003</v>
      </c>
      <c r="K13">
        <v>2015</v>
      </c>
      <c r="L13" s="4">
        <f>IF('Data and assumptions'!$G$2=2,Summary!T13,IF('Data and assumptions'!$G$2=1,Summary!V13,Summary!X13))</f>
        <v>178274.94666168565</v>
      </c>
      <c r="M13" s="4">
        <f>IF('Data and assumptions'!$G$2=2,Summary!U13,IF('Data and assumptions'!$G$2=1,Summary!W13,Summary!Y13))</f>
        <v>189249</v>
      </c>
      <c r="N13" s="4">
        <f t="shared" si="1"/>
        <v>178274.94666168565</v>
      </c>
      <c r="O13">
        <f t="shared" si="2"/>
        <v>189249.00000000003</v>
      </c>
      <c r="Q13" s="4">
        <v>180692</v>
      </c>
      <c r="R13" s="4">
        <v>171018.67658737762</v>
      </c>
      <c r="T13" s="4">
        <v>178274.94666168565</v>
      </c>
      <c r="U13" s="4">
        <v>189249</v>
      </c>
      <c r="V13" s="4">
        <v>16807.81061741451</v>
      </c>
      <c r="W13" s="4">
        <v>38606</v>
      </c>
      <c r="X13" s="4">
        <v>164900.08596168566</v>
      </c>
      <c r="Y13" s="4">
        <v>159399</v>
      </c>
    </row>
    <row r="14" spans="3:25" ht="12.75">
      <c r="C14">
        <v>2016</v>
      </c>
      <c r="D14" s="4">
        <f>Departing!R13</f>
        <v>108806.007825</v>
      </c>
      <c r="E14" s="4">
        <f>Arriving!I13</f>
        <v>68148.85625000001</v>
      </c>
      <c r="F14" s="4">
        <f>IF('Data and assumptions'!$F$38=0,'Alternative Constrained'!S14,Constrained!Q14)</f>
        <v>6995.664959016393</v>
      </c>
      <c r="G14">
        <v>2016</v>
      </c>
      <c r="H14" s="4">
        <f t="shared" si="0"/>
        <v>183950.5290340164</v>
      </c>
      <c r="I14">
        <f>Costs!M13*1000</f>
        <v>189249.00000000003</v>
      </c>
      <c r="K14">
        <v>2016</v>
      </c>
      <c r="L14" s="4">
        <f>IF('Data and assumptions'!$G$2=2,Summary!T14,IF('Data and assumptions'!$G$2=1,Summary!V14,Summary!X14))</f>
        <v>183950.5290340164</v>
      </c>
      <c r="M14" s="4">
        <f>IF('Data and assumptions'!$G$2=2,Summary!U14,IF('Data and assumptions'!$G$2=1,Summary!W14,Summary!Y14))</f>
        <v>189249</v>
      </c>
      <c r="N14" s="4">
        <f t="shared" si="1"/>
        <v>183950.5290340164</v>
      </c>
      <c r="O14">
        <f t="shared" si="2"/>
        <v>189249.00000000003</v>
      </c>
      <c r="Q14" s="4">
        <v>180692</v>
      </c>
      <c r="R14" s="4">
        <v>171018.67658737762</v>
      </c>
      <c r="T14" s="4">
        <v>183950.5290340164</v>
      </c>
      <c r="U14" s="4">
        <v>189249</v>
      </c>
      <c r="V14" s="4">
        <v>20275.351114745245</v>
      </c>
      <c r="W14" s="4">
        <v>38606</v>
      </c>
      <c r="X14" s="4">
        <v>170326.3380840164</v>
      </c>
      <c r="Y14" s="4">
        <v>159399</v>
      </c>
    </row>
    <row r="15" spans="3:25" ht="12.75">
      <c r="C15">
        <v>2017</v>
      </c>
      <c r="D15" s="4">
        <f>Departing!R14</f>
        <v>109965.4632</v>
      </c>
      <c r="E15" s="4">
        <f>Arriving!I14</f>
        <v>68816</v>
      </c>
      <c r="F15" s="4">
        <f>IF('Data and assumptions'!$F$38=0,'Alternative Constrained'!S15,Constrained!Q15)</f>
        <v>11067.063492063493</v>
      </c>
      <c r="G15">
        <v>2017</v>
      </c>
      <c r="H15" s="4">
        <f t="shared" si="0"/>
        <v>189848.5266920635</v>
      </c>
      <c r="I15">
        <f>Costs!M14*1000</f>
        <v>189249.00000000003</v>
      </c>
      <c r="K15">
        <v>2017</v>
      </c>
      <c r="L15" s="4">
        <f>IF('Data and assumptions'!$G$2=2,Summary!T15,IF('Data and assumptions'!$G$2=1,Summary!V15,Summary!X15))</f>
        <v>189848.5266920635</v>
      </c>
      <c r="M15" s="4">
        <f>IF('Data and assumptions'!$G$2=2,Summary!U15,IF('Data and assumptions'!$G$2=1,Summary!W15,Summary!Y15))</f>
        <v>189249</v>
      </c>
      <c r="N15" s="4">
        <f t="shared" si="1"/>
        <v>189848.5266920635</v>
      </c>
      <c r="O15">
        <f t="shared" si="2"/>
        <v>189249.00000000003</v>
      </c>
      <c r="Q15" s="4">
        <v>180692</v>
      </c>
      <c r="R15" s="4">
        <v>171018.67658737762</v>
      </c>
      <c r="T15" s="4">
        <v>189848.5266920635</v>
      </c>
      <c r="U15" s="4">
        <v>189249</v>
      </c>
      <c r="V15" s="4">
        <v>24574.42189779234</v>
      </c>
      <c r="W15" s="4">
        <v>38606</v>
      </c>
      <c r="X15" s="4">
        <v>175996.6634920635</v>
      </c>
      <c r="Y15" s="4">
        <v>159399</v>
      </c>
    </row>
    <row r="16" spans="3:25" ht="12.75">
      <c r="C16">
        <v>2018</v>
      </c>
      <c r="D16" s="4">
        <f>Departing!R15</f>
        <v>111012.65594999999</v>
      </c>
      <c r="E16" s="4">
        <f>Arriving!I15</f>
        <v>69407.38750000001</v>
      </c>
      <c r="F16" s="4">
        <f>IF('Data and assumptions'!$F$38=0,'Alternative Constrained'!S16,Constrained!Q16)</f>
        <v>16147.696153846153</v>
      </c>
      <c r="G16">
        <v>2018</v>
      </c>
      <c r="H16" s="4">
        <f t="shared" si="0"/>
        <v>196567.73960384616</v>
      </c>
      <c r="I16">
        <f>Costs!M15*1000</f>
        <v>189249.00000000003</v>
      </c>
      <c r="K16">
        <v>2018</v>
      </c>
      <c r="L16" s="4">
        <f>IF('Data and assumptions'!$G$2=2,Summary!T16,IF('Data and assumptions'!$G$2=1,Summary!V16,Summary!X16))</f>
        <v>196567.73960384616</v>
      </c>
      <c r="M16" s="4">
        <f>IF('Data and assumptions'!$G$2=2,Summary!U16,IF('Data and assumptions'!$G$2=1,Summary!W16,Summary!Y16))</f>
        <v>189249</v>
      </c>
      <c r="N16" s="4">
        <f t="shared" si="1"/>
        <v>196567.73960384616</v>
      </c>
      <c r="O16">
        <f t="shared" si="2"/>
        <v>189249.00000000003</v>
      </c>
      <c r="Q16" s="4">
        <v>180692</v>
      </c>
      <c r="R16" s="4">
        <v>171018.67658737762</v>
      </c>
      <c r="T16" s="4">
        <v>196567.73960384616</v>
      </c>
      <c r="U16" s="4">
        <v>189249</v>
      </c>
      <c r="V16" s="4">
        <v>29876.271059575</v>
      </c>
      <c r="W16" s="4">
        <v>38606</v>
      </c>
      <c r="X16" s="4">
        <v>182494.65990384616</v>
      </c>
      <c r="Y16" s="4">
        <v>159399</v>
      </c>
    </row>
    <row r="17" spans="3:25" ht="12.75">
      <c r="C17">
        <v>2019</v>
      </c>
      <c r="D17" s="4">
        <f>Departing!R16</f>
        <v>111951.20744999999</v>
      </c>
      <c r="E17" s="4">
        <f>Arriving!I16</f>
        <v>69925.4625</v>
      </c>
      <c r="F17" s="4">
        <f>IF('Data and assumptions'!$F$38=0,'Alternative Constrained'!S17,Constrained!Q17)</f>
        <v>22269.58582089552</v>
      </c>
      <c r="G17">
        <v>2019</v>
      </c>
      <c r="H17" s="4">
        <f t="shared" si="0"/>
        <v>204146.2557708955</v>
      </c>
      <c r="I17">
        <f>Costs!M16*1000</f>
        <v>189249.00000000003</v>
      </c>
      <c r="K17">
        <v>2019</v>
      </c>
      <c r="L17" s="4">
        <f>IF('Data and assumptions'!$G$2=2,Summary!T17,IF('Data and assumptions'!$G$2=1,Summary!V17,Summary!X17))</f>
        <v>204146.2557708955</v>
      </c>
      <c r="M17" s="4">
        <f>IF('Data and assumptions'!$G$2=2,Summary!U17,IF('Data and assumptions'!$G$2=1,Summary!W17,Summary!Y17))</f>
        <v>189249</v>
      </c>
      <c r="N17" s="4">
        <f t="shared" si="1"/>
        <v>204146.2557708955</v>
      </c>
      <c r="O17">
        <f t="shared" si="2"/>
        <v>189249.00000000003</v>
      </c>
      <c r="Q17" s="4">
        <v>180692</v>
      </c>
      <c r="R17" s="4">
        <v>171018.67658737762</v>
      </c>
      <c r="T17" s="4">
        <v>204146.2557708955</v>
      </c>
      <c r="U17" s="4">
        <v>189249</v>
      </c>
      <c r="V17" s="4">
        <v>36213.12972662437</v>
      </c>
      <c r="W17" s="4">
        <v>38606</v>
      </c>
      <c r="X17" s="4">
        <v>189858.2070708955</v>
      </c>
      <c r="Y17" s="4">
        <v>159399</v>
      </c>
    </row>
    <row r="18" spans="3:25" ht="12.75">
      <c r="C18">
        <v>2020</v>
      </c>
      <c r="D18" s="4">
        <f>Departing!R17</f>
        <v>112802.84594999999</v>
      </c>
      <c r="E18" s="4">
        <f>Arriving!I17</f>
        <v>70384.88750000001</v>
      </c>
      <c r="F18" s="4">
        <f>IF('Data and assumptions'!$F$38=0,'Alternative Constrained'!S18,Constrained!Q18)</f>
        <v>29408.699275362324</v>
      </c>
      <c r="G18">
        <v>2020</v>
      </c>
      <c r="H18" s="4">
        <f t="shared" si="0"/>
        <v>212596.43272536233</v>
      </c>
      <c r="I18">
        <f>Costs!M17*1000</f>
        <v>189249.00000000003</v>
      </c>
      <c r="K18">
        <v>2020</v>
      </c>
      <c r="L18" s="4">
        <f>IF('Data and assumptions'!$G$2=2,Summary!T18,IF('Data and assumptions'!$G$2=1,Summary!V18,Summary!X18))</f>
        <v>212596.43272536233</v>
      </c>
      <c r="M18" s="4">
        <f>IF('Data and assumptions'!$G$2=2,Summary!U18,IF('Data and assumptions'!$G$2=1,Summary!W18,Summary!Y18))</f>
        <v>189249</v>
      </c>
      <c r="N18" s="4">
        <f t="shared" si="1"/>
        <v>212596.43272536233</v>
      </c>
      <c r="O18">
        <f t="shared" si="2"/>
        <v>189249.00000000003</v>
      </c>
      <c r="Q18" s="4">
        <v>180692</v>
      </c>
      <c r="R18" s="4">
        <v>171018.67658737762</v>
      </c>
      <c r="T18" s="4">
        <v>212596.43272536233</v>
      </c>
      <c r="U18" s="4">
        <v>189249</v>
      </c>
      <c r="V18" s="4">
        <v>43562.21418109117</v>
      </c>
      <c r="W18" s="4">
        <v>38606</v>
      </c>
      <c r="X18" s="4">
        <v>198098.41302536233</v>
      </c>
      <c r="Y18" s="4">
        <v>159399</v>
      </c>
    </row>
    <row r="22" spans="3:6" ht="12.75">
      <c r="C22" t="s">
        <v>30</v>
      </c>
      <c r="D22" t="s">
        <v>31</v>
      </c>
      <c r="E22" s="9">
        <f>NPV('Data and assumptions'!D62,H5:H18)/1000-NPV('Data and assumptions'!D62,Summary!I5:I18)/1000</f>
        <v>-51.013729459562</v>
      </c>
      <c r="F22" t="s">
        <v>52</v>
      </c>
    </row>
    <row r="40" spans="12:16" ht="12.75">
      <c r="L40" s="29"/>
      <c r="M40" s="29"/>
      <c r="N40" s="4"/>
      <c r="O40" s="4"/>
      <c r="P40" s="4"/>
    </row>
    <row r="41" spans="13:16" ht="12.75">
      <c r="M41" s="29"/>
      <c r="N41" s="29"/>
      <c r="O41" s="29"/>
      <c r="P41" s="29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O63"/>
  <sheetViews>
    <sheetView workbookViewId="0" topLeftCell="A36">
      <selection activeCell="A33" sqref="A33"/>
    </sheetView>
  </sheetViews>
  <sheetFormatPr defaultColWidth="9.140625" defaultRowHeight="12.75"/>
  <cols>
    <col min="4" max="4" width="9.7109375" style="0" bestFit="1" customWidth="1"/>
    <col min="5" max="5" width="9.8515625" style="0" customWidth="1"/>
    <col min="6" max="6" width="9.7109375" style="0" customWidth="1"/>
    <col min="7" max="10" width="9.7109375" style="0" bestFit="1" customWidth="1"/>
  </cols>
  <sheetData>
    <row r="3" ht="12.75">
      <c r="B3" t="s">
        <v>138</v>
      </c>
    </row>
    <row r="4" spans="3:15" ht="12.75">
      <c r="C4" t="s">
        <v>29</v>
      </c>
      <c r="D4" s="11" t="s">
        <v>131</v>
      </c>
      <c r="E4" s="11" t="s">
        <v>132</v>
      </c>
      <c r="F4" t="s">
        <v>133</v>
      </c>
      <c r="G4" t="s">
        <v>134</v>
      </c>
      <c r="H4" t="s">
        <v>135</v>
      </c>
      <c r="I4" t="s">
        <v>136</v>
      </c>
      <c r="J4" t="s">
        <v>137</v>
      </c>
      <c r="M4" t="s">
        <v>145</v>
      </c>
      <c r="N4" t="s">
        <v>38</v>
      </c>
      <c r="O4" t="s">
        <v>39</v>
      </c>
    </row>
    <row r="5" spans="3:15" ht="12.75">
      <c r="C5">
        <v>2006</v>
      </c>
      <c r="D5" s="4">
        <v>0</v>
      </c>
      <c r="E5">
        <v>0</v>
      </c>
      <c r="F5">
        <v>0</v>
      </c>
      <c r="G5">
        <v>0</v>
      </c>
      <c r="H5">
        <v>0</v>
      </c>
      <c r="I5" s="4">
        <v>0</v>
      </c>
      <c r="J5" s="4">
        <v>0</v>
      </c>
      <c r="L5" t="s">
        <v>143</v>
      </c>
      <c r="M5">
        <f>300000*'Data and assumptions'!D62</f>
        <v>22200.000000000004</v>
      </c>
      <c r="N5">
        <f>250000*'Data and assumptions'!D62</f>
        <v>18500.000000000004</v>
      </c>
      <c r="O5">
        <f>M5-N5</f>
        <v>3700</v>
      </c>
    </row>
    <row r="6" spans="3:15" ht="12.75">
      <c r="C6">
        <v>2007</v>
      </c>
      <c r="D6" s="4">
        <f>0-(IF('Data and assumptions'!G2=0,NPV!N5,(IF('Data and assumptions'!G2=1,NPV!O5,NPV!M5))))</f>
        <v>-22200.000000000004</v>
      </c>
      <c r="E6">
        <v>0</v>
      </c>
      <c r="F6">
        <v>0</v>
      </c>
      <c r="G6">
        <v>0</v>
      </c>
      <c r="H6">
        <v>0</v>
      </c>
      <c r="I6" s="4">
        <v>0</v>
      </c>
      <c r="J6" s="4">
        <v>0</v>
      </c>
      <c r="L6" t="s">
        <v>144</v>
      </c>
      <c r="M6">
        <f>600000*'Data and assumptions'!D62</f>
        <v>44400.00000000001</v>
      </c>
      <c r="N6">
        <f>500000*'Data and assumptions'!D62</f>
        <v>37000.00000000001</v>
      </c>
      <c r="O6">
        <f>M6-N6</f>
        <v>7400</v>
      </c>
    </row>
    <row r="7" spans="3:10" ht="12.75">
      <c r="C7">
        <v>2008</v>
      </c>
      <c r="D7" s="4">
        <f>0-(IF('Data and assumptions'!G2=0,NPV!N6,(IF('Data and assumptions'!G2=1,NPV!O6,NPV!M6))))</f>
        <v>-44400.00000000001</v>
      </c>
      <c r="E7" s="4">
        <f>D6</f>
        <v>-22200.000000000004</v>
      </c>
      <c r="F7">
        <v>0</v>
      </c>
      <c r="G7">
        <v>0</v>
      </c>
      <c r="H7">
        <v>0</v>
      </c>
      <c r="I7" s="4">
        <v>0</v>
      </c>
      <c r="J7" s="4">
        <v>0</v>
      </c>
    </row>
    <row r="8" spans="3:15" ht="12.75">
      <c r="C8">
        <v>2009</v>
      </c>
      <c r="D8" s="4">
        <f>Summary!N7-Summary!O7</f>
        <v>-41618.54563213381</v>
      </c>
      <c r="E8" s="4">
        <f>D7</f>
        <v>-44400.00000000001</v>
      </c>
      <c r="F8" s="4">
        <f>E7</f>
        <v>-22200.000000000004</v>
      </c>
      <c r="G8">
        <v>0</v>
      </c>
      <c r="H8">
        <v>0</v>
      </c>
      <c r="I8" s="4">
        <v>0</v>
      </c>
      <c r="J8" s="4">
        <v>0</v>
      </c>
      <c r="M8">
        <f>('Key Assumptions'!D28+'Key Assumptions'!D29)*1000</f>
        <v>907000</v>
      </c>
      <c r="N8">
        <f>'Key Assumptions'!D28*1000</f>
        <v>757000</v>
      </c>
      <c r="O8">
        <f>M8-N8</f>
        <v>150000</v>
      </c>
    </row>
    <row r="9" spans="3:10" ht="12.75">
      <c r="C9">
        <v>2010</v>
      </c>
      <c r="D9" s="4">
        <f>Summary!N8-Summary!O8</f>
        <v>-35551.47823072891</v>
      </c>
      <c r="E9" s="4">
        <f>D9</f>
        <v>-35551.47823072891</v>
      </c>
      <c r="F9" s="4">
        <f>E8</f>
        <v>-44400.00000000001</v>
      </c>
      <c r="G9" s="4">
        <f>F8</f>
        <v>-22200.000000000004</v>
      </c>
      <c r="H9">
        <v>0</v>
      </c>
      <c r="I9" s="4">
        <v>0</v>
      </c>
      <c r="J9" s="4">
        <v>0</v>
      </c>
    </row>
    <row r="10" spans="3:10" ht="12.75">
      <c r="C10">
        <v>2011</v>
      </c>
      <c r="D10" s="4">
        <f>Summary!N9-Summary!O9</f>
        <v>-30177.777428561792</v>
      </c>
      <c r="E10" s="4">
        <f aca="true" t="shared" si="0" ref="E10:E19">D10</f>
        <v>-30177.777428561792</v>
      </c>
      <c r="F10" s="4">
        <f aca="true" t="shared" si="1" ref="F10:F19">E10</f>
        <v>-30177.777428561792</v>
      </c>
      <c r="G10" s="4">
        <f>F9</f>
        <v>-44400.00000000001</v>
      </c>
      <c r="H10" s="4">
        <f>G9</f>
        <v>-22200.000000000004</v>
      </c>
      <c r="I10" s="4">
        <v>0</v>
      </c>
      <c r="J10" s="4">
        <v>0</v>
      </c>
    </row>
    <row r="11" spans="3:10" ht="12.75">
      <c r="C11">
        <v>2012</v>
      </c>
      <c r="D11" s="4">
        <f>Summary!N10-Summary!O10</f>
        <v>-24451.841725265258</v>
      </c>
      <c r="E11" s="4">
        <f t="shared" si="0"/>
        <v>-24451.841725265258</v>
      </c>
      <c r="F11" s="4">
        <f t="shared" si="1"/>
        <v>-24451.841725265258</v>
      </c>
      <c r="G11" s="4">
        <f aca="true" t="shared" si="2" ref="G11:G19">F11</f>
        <v>-24451.841725265258</v>
      </c>
      <c r="H11" s="4">
        <f>G10</f>
        <v>-44400.00000000001</v>
      </c>
      <c r="I11" s="4">
        <f>H10</f>
        <v>-22200.000000000004</v>
      </c>
      <c r="J11" s="4">
        <v>0</v>
      </c>
    </row>
    <row r="12" spans="3:10" ht="12.75">
      <c r="C12">
        <v>2013</v>
      </c>
      <c r="D12" s="4">
        <f>Summary!N11-Summary!O11</f>
        <v>-19077.903638516</v>
      </c>
      <c r="E12" s="4">
        <f t="shared" si="0"/>
        <v>-19077.903638516</v>
      </c>
      <c r="F12" s="4">
        <f t="shared" si="1"/>
        <v>-19077.903638516</v>
      </c>
      <c r="G12" s="4">
        <f t="shared" si="2"/>
        <v>-19077.903638516</v>
      </c>
      <c r="H12" s="4">
        <f aca="true" t="shared" si="3" ref="H12:H19">G12</f>
        <v>-19077.903638516</v>
      </c>
      <c r="I12" s="4">
        <f>H11</f>
        <v>-44400.00000000001</v>
      </c>
      <c r="J12" s="4">
        <f>I11</f>
        <v>-22200.000000000004</v>
      </c>
    </row>
    <row r="13" spans="3:10" ht="12.75">
      <c r="C13">
        <v>2014</v>
      </c>
      <c r="D13" s="4">
        <f>Summary!N12-Summary!O12</f>
        <v>-14282.076754833746</v>
      </c>
      <c r="E13" s="4">
        <f t="shared" si="0"/>
        <v>-14282.076754833746</v>
      </c>
      <c r="F13" s="4">
        <f t="shared" si="1"/>
        <v>-14282.076754833746</v>
      </c>
      <c r="G13" s="4">
        <f t="shared" si="2"/>
        <v>-14282.076754833746</v>
      </c>
      <c r="H13" s="4">
        <f t="shared" si="3"/>
        <v>-14282.076754833746</v>
      </c>
      <c r="I13" s="4">
        <f aca="true" t="shared" si="4" ref="I13:I19">H13</f>
        <v>-14282.076754833746</v>
      </c>
      <c r="J13" s="4">
        <f>I12</f>
        <v>-44400.00000000001</v>
      </c>
    </row>
    <row r="14" spans="3:10" ht="12.75">
      <c r="C14">
        <v>2015</v>
      </c>
      <c r="D14" s="4">
        <f>Summary!N13-Summary!O13</f>
        <v>-10974.053338314377</v>
      </c>
      <c r="E14" s="4">
        <f t="shared" si="0"/>
        <v>-10974.053338314377</v>
      </c>
      <c r="F14" s="4">
        <f t="shared" si="1"/>
        <v>-10974.053338314377</v>
      </c>
      <c r="G14" s="4">
        <f t="shared" si="2"/>
        <v>-10974.053338314377</v>
      </c>
      <c r="H14" s="4">
        <f t="shared" si="3"/>
        <v>-10974.053338314377</v>
      </c>
      <c r="I14" s="4">
        <f t="shared" si="4"/>
        <v>-10974.053338314377</v>
      </c>
      <c r="J14" s="4">
        <f aca="true" t="shared" si="5" ref="J14:J19">I14</f>
        <v>-10974.053338314377</v>
      </c>
    </row>
    <row r="15" spans="3:10" ht="12.75">
      <c r="C15">
        <v>2016</v>
      </c>
      <c r="D15" s="4">
        <f>Summary!N14-Summary!O14</f>
        <v>-5298.470965983637</v>
      </c>
      <c r="E15" s="4">
        <f t="shared" si="0"/>
        <v>-5298.470965983637</v>
      </c>
      <c r="F15" s="4">
        <f t="shared" si="1"/>
        <v>-5298.470965983637</v>
      </c>
      <c r="G15" s="4">
        <f t="shared" si="2"/>
        <v>-5298.470965983637</v>
      </c>
      <c r="H15" s="4">
        <f t="shared" si="3"/>
        <v>-5298.470965983637</v>
      </c>
      <c r="I15" s="4">
        <f t="shared" si="4"/>
        <v>-5298.470965983637</v>
      </c>
      <c r="J15" s="4">
        <f t="shared" si="5"/>
        <v>-5298.470965983637</v>
      </c>
    </row>
    <row r="16" spans="3:15" ht="12.75">
      <c r="C16">
        <v>2017</v>
      </c>
      <c r="D16" s="4">
        <f>Summary!N15-Summary!O15</f>
        <v>599.5266920634604</v>
      </c>
      <c r="E16" s="4">
        <f t="shared" si="0"/>
        <v>599.5266920634604</v>
      </c>
      <c r="F16" s="4">
        <f t="shared" si="1"/>
        <v>599.5266920634604</v>
      </c>
      <c r="G16" s="4">
        <f t="shared" si="2"/>
        <v>599.5266920634604</v>
      </c>
      <c r="H16" s="4">
        <f t="shared" si="3"/>
        <v>599.5266920634604</v>
      </c>
      <c r="I16" s="4">
        <f t="shared" si="4"/>
        <v>599.5266920634604</v>
      </c>
      <c r="J16" s="4">
        <f t="shared" si="5"/>
        <v>599.5266920634604</v>
      </c>
      <c r="M16" t="s">
        <v>140</v>
      </c>
      <c r="N16" t="s">
        <v>141</v>
      </c>
      <c r="O16" t="s">
        <v>142</v>
      </c>
    </row>
    <row r="17" spans="3:15" ht="12.75">
      <c r="C17">
        <v>2018</v>
      </c>
      <c r="D17" s="4">
        <f>Summary!N16-Summary!O16</f>
        <v>7318.73960384613</v>
      </c>
      <c r="E17" s="4">
        <f t="shared" si="0"/>
        <v>7318.73960384613</v>
      </c>
      <c r="F17" s="4">
        <f t="shared" si="1"/>
        <v>7318.73960384613</v>
      </c>
      <c r="G17" s="4">
        <f t="shared" si="2"/>
        <v>7318.73960384613</v>
      </c>
      <c r="H17" s="4">
        <f t="shared" si="3"/>
        <v>7318.73960384613</v>
      </c>
      <c r="I17" s="4">
        <f t="shared" si="4"/>
        <v>7318.73960384613</v>
      </c>
      <c r="J17" s="4">
        <f t="shared" si="5"/>
        <v>7318.73960384613</v>
      </c>
      <c r="M17">
        <v>2009</v>
      </c>
      <c r="N17" s="29">
        <f>D21</f>
        <v>-155190.6960749307</v>
      </c>
      <c r="O17" s="29">
        <f>D62</f>
        <v>-340065.58554149995</v>
      </c>
    </row>
    <row r="18" spans="3:15" ht="12.75">
      <c r="C18">
        <v>2019</v>
      </c>
      <c r="D18" s="4">
        <f>Summary!N17-Summary!O17</f>
        <v>14897.255770895485</v>
      </c>
      <c r="E18" s="4">
        <f t="shared" si="0"/>
        <v>14897.255770895485</v>
      </c>
      <c r="F18" s="4">
        <f t="shared" si="1"/>
        <v>14897.255770895485</v>
      </c>
      <c r="G18" s="4">
        <f t="shared" si="2"/>
        <v>14897.255770895485</v>
      </c>
      <c r="H18" s="4">
        <f t="shared" si="3"/>
        <v>14897.255770895485</v>
      </c>
      <c r="I18" s="4">
        <f t="shared" si="4"/>
        <v>14897.255770895485</v>
      </c>
      <c r="J18" s="4">
        <f t="shared" si="5"/>
        <v>14897.255770895485</v>
      </c>
      <c r="M18">
        <v>2010</v>
      </c>
      <c r="N18" s="29">
        <f>E21</f>
        <v>-120114.95656294958</v>
      </c>
      <c r="O18" s="29">
        <f>E62</f>
        <v>-314708.31127025513</v>
      </c>
    </row>
    <row r="19" spans="3:15" ht="12.75">
      <c r="C19">
        <v>2020</v>
      </c>
      <c r="D19" s="4">
        <f>Summary!N18-Summary!O18</f>
        <v>23347.432725362305</v>
      </c>
      <c r="E19" s="4">
        <f t="shared" si="0"/>
        <v>23347.432725362305</v>
      </c>
      <c r="F19" s="4">
        <f t="shared" si="1"/>
        <v>23347.432725362305</v>
      </c>
      <c r="G19" s="4">
        <f t="shared" si="2"/>
        <v>23347.432725362305</v>
      </c>
      <c r="H19" s="4">
        <f t="shared" si="3"/>
        <v>23347.432725362305</v>
      </c>
      <c r="I19" s="4">
        <f t="shared" si="4"/>
        <v>23347.432725362305</v>
      </c>
      <c r="J19" s="4">
        <f t="shared" si="5"/>
        <v>23347.432725362305</v>
      </c>
      <c r="M19">
        <v>2011</v>
      </c>
      <c r="N19" s="29">
        <f>F21</f>
        <v>-91701.76050204292</v>
      </c>
      <c r="O19" s="29">
        <f>F62</f>
        <v>-295343.9655266076</v>
      </c>
    </row>
    <row r="20" spans="4:15" ht="12.75">
      <c r="D20" s="4"/>
      <c r="E20" s="4"/>
      <c r="F20" s="4"/>
      <c r="G20" s="4"/>
      <c r="H20" s="4"/>
      <c r="I20" s="4"/>
      <c r="J20" s="4"/>
      <c r="M20">
        <v>2012</v>
      </c>
      <c r="N20" s="29">
        <f>G21</f>
        <v>-68747.71959718995</v>
      </c>
      <c r="O20" s="29">
        <f>G62</f>
        <v>-280815.2973566328</v>
      </c>
    </row>
    <row r="21" spans="3:15" ht="12.75">
      <c r="C21" t="s">
        <v>30</v>
      </c>
      <c r="D21" s="29">
        <f>NPV(('Data and assumptions'!$D$62),D5:D19)</f>
        <v>-155190.6960749307</v>
      </c>
      <c r="E21" s="29">
        <f>NPV(('Data and assumptions'!$D$62),E5:E19)</f>
        <v>-120114.95656294958</v>
      </c>
      <c r="F21" s="29">
        <f>NPV(('Data and assumptions'!$D$62),F5:F19)</f>
        <v>-91701.76050204292</v>
      </c>
      <c r="G21" s="29">
        <f>NPV(('Data and assumptions'!$D$62),G5:G19)</f>
        <v>-68747.71959718995</v>
      </c>
      <c r="H21" s="29">
        <f>NPV(('Data and assumptions'!$D$62),H5:H19)</f>
        <v>-50849.13551150558</v>
      </c>
      <c r="I21" s="29">
        <f>NPV(('Data and assumptions'!$D$62),I5:I19)</f>
        <v>-37219.48410477685</v>
      </c>
      <c r="J21" s="29">
        <f>NPV(('Data and assumptions'!$D$62),J5:J19)</f>
        <v>-27051.397381578423</v>
      </c>
      <c r="M21">
        <v>2013</v>
      </c>
      <c r="N21" s="29">
        <f>H21</f>
        <v>-50849.13551150558</v>
      </c>
      <c r="O21" s="29">
        <f>H62</f>
        <v>-270761.56684159837</v>
      </c>
    </row>
    <row r="22" spans="5:15" ht="12.75">
      <c r="E22" s="29">
        <f aca="true" t="shared" si="6" ref="E22:J22">E21-D21</f>
        <v>35075.73951198111</v>
      </c>
      <c r="F22" s="29">
        <f t="shared" si="6"/>
        <v>28413.19606090666</v>
      </c>
      <c r="G22" s="29">
        <f t="shared" si="6"/>
        <v>22954.04090485297</v>
      </c>
      <c r="H22" s="29">
        <f t="shared" si="6"/>
        <v>17898.58408568437</v>
      </c>
      <c r="I22" s="29">
        <f t="shared" si="6"/>
        <v>13629.651406728728</v>
      </c>
      <c r="J22" s="29">
        <f t="shared" si="6"/>
        <v>10168.086723198427</v>
      </c>
      <c r="M22">
        <v>2014</v>
      </c>
      <c r="N22" s="29">
        <f>I21</f>
        <v>-37219.48410477685</v>
      </c>
      <c r="O22" s="29">
        <f>I62</f>
        <v>-264436.2483684358</v>
      </c>
    </row>
    <row r="23" spans="13:15" ht="12.75">
      <c r="M23">
        <v>2015</v>
      </c>
      <c r="N23" s="29">
        <f>J21</f>
        <v>-27051.397381578423</v>
      </c>
      <c r="O23" s="29">
        <f>J62</f>
        <v>-261069.21651820396</v>
      </c>
    </row>
    <row r="25" ht="12.75">
      <c r="B25" t="s">
        <v>139</v>
      </c>
    </row>
    <row r="26" spans="3:10" ht="12.75">
      <c r="C26" t="s">
        <v>29</v>
      </c>
      <c r="D26" s="11" t="s">
        <v>131</v>
      </c>
      <c r="E26" s="11" t="s">
        <v>132</v>
      </c>
      <c r="F26" t="s">
        <v>133</v>
      </c>
      <c r="G26" t="s">
        <v>134</v>
      </c>
      <c r="H26" t="s">
        <v>135</v>
      </c>
      <c r="I26" t="s">
        <v>136</v>
      </c>
      <c r="J26" t="s">
        <v>137</v>
      </c>
    </row>
    <row r="27" spans="3:10" ht="12.75">
      <c r="C27">
        <v>2006</v>
      </c>
      <c r="D27" s="4">
        <v>0</v>
      </c>
      <c r="E27">
        <v>0</v>
      </c>
      <c r="F27">
        <v>0</v>
      </c>
      <c r="G27">
        <v>0</v>
      </c>
      <c r="H27">
        <v>0</v>
      </c>
      <c r="I27" s="4">
        <v>0</v>
      </c>
      <c r="J27" s="4">
        <v>0</v>
      </c>
    </row>
    <row r="28" spans="3:10" ht="12.75">
      <c r="C28">
        <v>2007</v>
      </c>
      <c r="D28" s="4">
        <f>0-Summary!M27</f>
        <v>0</v>
      </c>
      <c r="E28">
        <v>0</v>
      </c>
      <c r="F28">
        <v>0</v>
      </c>
      <c r="G28">
        <v>0</v>
      </c>
      <c r="H28">
        <v>0</v>
      </c>
      <c r="I28" s="4">
        <v>0</v>
      </c>
      <c r="J28" s="4">
        <v>0</v>
      </c>
    </row>
    <row r="29" spans="3:10" ht="12.75">
      <c r="C29">
        <v>2008</v>
      </c>
      <c r="D29" s="4">
        <f>0-Summary!M28</f>
        <v>0</v>
      </c>
      <c r="E29" s="4">
        <f>0-Summary!M27</f>
        <v>0</v>
      </c>
      <c r="F29">
        <v>0</v>
      </c>
      <c r="G29">
        <v>0</v>
      </c>
      <c r="H29">
        <v>0</v>
      </c>
      <c r="I29" s="4">
        <v>0</v>
      </c>
      <c r="J29" s="4">
        <v>0</v>
      </c>
    </row>
    <row r="30" spans="3:10" ht="12.75">
      <c r="C30">
        <v>2009</v>
      </c>
      <c r="D30" s="4">
        <f>Summary!$N$7-Costs!$J$6*1000-Costs!$I$6*1000-(IF('Data and assumptions'!$G$2=0,NPV!$N$8,IF('Data and assumptions'!$G$2=1,NPV!$O$8,NPV!$M$8)))</f>
        <v>-878244.5456321338</v>
      </c>
      <c r="E30" s="4">
        <f>0-Summary!M28</f>
        <v>0</v>
      </c>
      <c r="F30" s="4">
        <f>E29</f>
        <v>0</v>
      </c>
      <c r="G30">
        <v>0</v>
      </c>
      <c r="H30">
        <v>0</v>
      </c>
      <c r="I30" s="4">
        <v>0</v>
      </c>
      <c r="J30" s="4">
        <v>0</v>
      </c>
    </row>
    <row r="31" spans="3:10" ht="12.75">
      <c r="C31">
        <v>2010</v>
      </c>
      <c r="D31" s="4">
        <f>Summary!N8-Costs!J7*1000-Costs!I7*1000</f>
        <v>34822.5217692711</v>
      </c>
      <c r="E31" s="4">
        <f>Summary!$N$8-Costs!$J$7*1000-Costs!$I$7*1000-(IF('Data and assumptions'!$G$2=0,NPV!$N$8,IF('Data and assumptions'!$G$2=1,NPV!$O$8,NPV!$M$8)))</f>
        <v>-872177.4782307289</v>
      </c>
      <c r="F31" s="4">
        <f>E30</f>
        <v>0</v>
      </c>
      <c r="G31" s="4">
        <f>F30</f>
        <v>0</v>
      </c>
      <c r="H31">
        <v>0</v>
      </c>
      <c r="I31" s="4">
        <v>0</v>
      </c>
      <c r="J31" s="4">
        <v>0</v>
      </c>
    </row>
    <row r="32" spans="3:10" ht="12.75">
      <c r="C32">
        <v>2011</v>
      </c>
      <c r="D32" s="4">
        <f>Summary!N9-Costs!J8*1000-Costs!I8*1000</f>
        <v>40196.22257143822</v>
      </c>
      <c r="E32" s="4">
        <f aca="true" t="shared" si="7" ref="E32:E41">D32</f>
        <v>40196.22257143822</v>
      </c>
      <c r="F32" s="4">
        <f>Summary!$N$9-Costs!$J$8*1000-Costs!$I$8*1000-(IF('Data and assumptions'!$G$2=0,NPV!$N$8,IF('Data and assumptions'!$G$2=1,NPV!$O$8,NPV!$M$8)))</f>
        <v>-866803.7774285618</v>
      </c>
      <c r="G32" s="4">
        <f>F31</f>
        <v>0</v>
      </c>
      <c r="H32" s="4">
        <f>G31</f>
        <v>0</v>
      </c>
      <c r="I32" s="4">
        <v>0</v>
      </c>
      <c r="J32" s="4">
        <v>0</v>
      </c>
    </row>
    <row r="33" spans="3:10" ht="12.75">
      <c r="C33">
        <v>2012</v>
      </c>
      <c r="D33" s="4">
        <f>Summary!N10-Costs!J9*1000-Costs!I9*1000</f>
        <v>45922.15827473476</v>
      </c>
      <c r="E33" s="4">
        <f t="shared" si="7"/>
        <v>45922.15827473476</v>
      </c>
      <c r="F33" s="4">
        <f aca="true" t="shared" si="8" ref="F33:F41">E33</f>
        <v>45922.15827473476</v>
      </c>
      <c r="G33" s="4">
        <f>Summary!$N$10-Costs!$J$9*1000-Costs!$I$9*1000-(IF('Data and assumptions'!$G$2=0,NPV!$N$8,IF('Data and assumptions'!$G$2=1,NPV!$O$8,NPV!$M$8)))</f>
        <v>-861077.8417252653</v>
      </c>
      <c r="H33" s="4">
        <f>G32</f>
        <v>0</v>
      </c>
      <c r="I33" s="4">
        <f>H32</f>
        <v>0</v>
      </c>
      <c r="J33" s="4">
        <v>0</v>
      </c>
    </row>
    <row r="34" spans="3:10" ht="12.75">
      <c r="C34">
        <v>2013</v>
      </c>
      <c r="D34" s="4">
        <f>Summary!N11-Costs!J10*1000-Costs!I10*1000</f>
        <v>51296.096361484015</v>
      </c>
      <c r="E34" s="4">
        <f t="shared" si="7"/>
        <v>51296.096361484015</v>
      </c>
      <c r="F34" s="4">
        <f t="shared" si="8"/>
        <v>51296.096361484015</v>
      </c>
      <c r="G34" s="4">
        <f aca="true" t="shared" si="9" ref="G34:G41">F34</f>
        <v>51296.096361484015</v>
      </c>
      <c r="H34" s="4">
        <f>Summary!$N$11-Costs!$J$10*1000-Costs!$I$10*1000-(IF('Data and assumptions'!$G$2=0,NPV!$N$8,IF('Data and assumptions'!$G$2=1,NPV!$O$8,NPV!$M$8)))</f>
        <v>-855703.903638516</v>
      </c>
      <c r="I34" s="4">
        <f>H33</f>
        <v>0</v>
      </c>
      <c r="J34" s="4">
        <f>I33</f>
        <v>0</v>
      </c>
    </row>
    <row r="35" spans="3:10" ht="12.75">
      <c r="C35">
        <v>2014</v>
      </c>
      <c r="D35" s="4">
        <f>Summary!N12-Costs!J11*1000-Costs!I11*1000</f>
        <v>56091.92324516627</v>
      </c>
      <c r="E35" s="4">
        <f t="shared" si="7"/>
        <v>56091.92324516627</v>
      </c>
      <c r="F35" s="4">
        <f t="shared" si="8"/>
        <v>56091.92324516627</v>
      </c>
      <c r="G35" s="4">
        <f t="shared" si="9"/>
        <v>56091.92324516627</v>
      </c>
      <c r="H35" s="4">
        <f aca="true" t="shared" si="10" ref="H35:H41">G35</f>
        <v>56091.92324516627</v>
      </c>
      <c r="I35" s="4">
        <f>Summary!$N$12-Costs!$J$11*1000-Costs!$I$11*1000-(IF('Data and assumptions'!$G$2=0,NPV!$N$8,IF('Data and assumptions'!$G$2=1,NPV!$O$8,NPV!$M$8)))</f>
        <v>-850908.0767548337</v>
      </c>
      <c r="J35" s="4">
        <f>I34</f>
        <v>0</v>
      </c>
    </row>
    <row r="36" spans="3:10" ht="12.75">
      <c r="C36">
        <v>2015</v>
      </c>
      <c r="D36" s="4">
        <f>Summary!N13-Costs!J12*1000-Costs!I12*1000</f>
        <v>59399.94666168564</v>
      </c>
      <c r="E36" s="4">
        <f t="shared" si="7"/>
        <v>59399.94666168564</v>
      </c>
      <c r="F36" s="4">
        <f t="shared" si="8"/>
        <v>59399.94666168564</v>
      </c>
      <c r="G36" s="4">
        <f t="shared" si="9"/>
        <v>59399.94666168564</v>
      </c>
      <c r="H36" s="4">
        <f t="shared" si="10"/>
        <v>59399.94666168564</v>
      </c>
      <c r="I36" s="4">
        <f aca="true" t="shared" si="11" ref="I36:I41">H36</f>
        <v>59399.94666168564</v>
      </c>
      <c r="J36" s="4">
        <f>Summary!$N$13-Costs!$J$12*1000-Costs!$I$12*1000-(IF('Data and assumptions'!$G$2=0,NPV!$N$8,IF('Data and assumptions'!$G$2=1,NPV!$O$8,NPV!$M$8)))</f>
        <v>-847600.0533383144</v>
      </c>
    </row>
    <row r="37" spans="3:10" ht="12.75">
      <c r="C37">
        <v>2016</v>
      </c>
      <c r="D37" s="4">
        <f>Summary!N14-Costs!J13*1000-Costs!I13*1000</f>
        <v>65075.52903401638</v>
      </c>
      <c r="E37" s="4">
        <f t="shared" si="7"/>
        <v>65075.52903401638</v>
      </c>
      <c r="F37" s="4">
        <f t="shared" si="8"/>
        <v>65075.52903401638</v>
      </c>
      <c r="G37" s="4">
        <f t="shared" si="9"/>
        <v>65075.52903401638</v>
      </c>
      <c r="H37" s="4">
        <f t="shared" si="10"/>
        <v>65075.52903401638</v>
      </c>
      <c r="I37" s="4">
        <f t="shared" si="11"/>
        <v>65075.52903401638</v>
      </c>
      <c r="J37" s="4">
        <f>I37</f>
        <v>65075.52903401638</v>
      </c>
    </row>
    <row r="38" spans="3:10" ht="12.75">
      <c r="C38">
        <v>2017</v>
      </c>
      <c r="D38" s="4">
        <f>Summary!N15-Costs!J14*1000-Costs!I14*1000</f>
        <v>70973.52669206347</v>
      </c>
      <c r="E38" s="4">
        <f t="shared" si="7"/>
        <v>70973.52669206347</v>
      </c>
      <c r="F38" s="4">
        <f t="shared" si="8"/>
        <v>70973.52669206347</v>
      </c>
      <c r="G38" s="4">
        <f t="shared" si="9"/>
        <v>70973.52669206347</v>
      </c>
      <c r="H38" s="4">
        <f t="shared" si="10"/>
        <v>70973.52669206347</v>
      </c>
      <c r="I38" s="4">
        <f t="shared" si="11"/>
        <v>70973.52669206347</v>
      </c>
      <c r="J38" s="4">
        <f>I38</f>
        <v>70973.52669206347</v>
      </c>
    </row>
    <row r="39" spans="3:10" ht="12.75">
      <c r="C39">
        <v>2018</v>
      </c>
      <c r="D39" s="4">
        <f>Summary!N16-Costs!J15*1000-Costs!I15*1000</f>
        <v>77692.73960384614</v>
      </c>
      <c r="E39" s="4">
        <f t="shared" si="7"/>
        <v>77692.73960384614</v>
      </c>
      <c r="F39" s="4">
        <f t="shared" si="8"/>
        <v>77692.73960384614</v>
      </c>
      <c r="G39" s="4">
        <f t="shared" si="9"/>
        <v>77692.73960384614</v>
      </c>
      <c r="H39" s="4">
        <f t="shared" si="10"/>
        <v>77692.73960384614</v>
      </c>
      <c r="I39" s="4">
        <f t="shared" si="11"/>
        <v>77692.73960384614</v>
      </c>
      <c r="J39" s="4">
        <f>I39</f>
        <v>77692.73960384614</v>
      </c>
    </row>
    <row r="40" spans="3:10" ht="12.75">
      <c r="C40">
        <v>2019</v>
      </c>
      <c r="D40" s="4">
        <f>Summary!N17-Costs!J16*1000-Costs!I16*1000</f>
        <v>85271.2557708955</v>
      </c>
      <c r="E40" s="4">
        <f t="shared" si="7"/>
        <v>85271.2557708955</v>
      </c>
      <c r="F40" s="4">
        <f t="shared" si="8"/>
        <v>85271.2557708955</v>
      </c>
      <c r="G40" s="4">
        <f t="shared" si="9"/>
        <v>85271.2557708955</v>
      </c>
      <c r="H40" s="4">
        <f t="shared" si="10"/>
        <v>85271.2557708955</v>
      </c>
      <c r="I40" s="4">
        <f t="shared" si="11"/>
        <v>85271.2557708955</v>
      </c>
      <c r="J40" s="4">
        <f>I40</f>
        <v>85271.2557708955</v>
      </c>
    </row>
    <row r="41" spans="3:10" ht="12.75">
      <c r="C41">
        <v>2020</v>
      </c>
      <c r="D41" s="4">
        <f>Summary!N18-Costs!J17*1000-Costs!I17*1000</f>
        <v>93721.43272536232</v>
      </c>
      <c r="E41" s="4">
        <f t="shared" si="7"/>
        <v>93721.43272536232</v>
      </c>
      <c r="F41" s="4">
        <f t="shared" si="8"/>
        <v>93721.43272536232</v>
      </c>
      <c r="G41" s="4">
        <f t="shared" si="9"/>
        <v>93721.43272536232</v>
      </c>
      <c r="H41" s="4">
        <f t="shared" si="10"/>
        <v>93721.43272536232</v>
      </c>
      <c r="I41" s="4">
        <f t="shared" si="11"/>
        <v>93721.43272536232</v>
      </c>
      <c r="J41" s="4">
        <f>I41</f>
        <v>93721.43272536232</v>
      </c>
    </row>
    <row r="42" spans="3:10" ht="12.75">
      <c r="C42">
        <v>2021</v>
      </c>
      <c r="D42" s="4">
        <f>D41</f>
        <v>93721.43272536232</v>
      </c>
      <c r="E42" s="4">
        <f aca="true" t="shared" si="12" ref="E42:J57">E41</f>
        <v>93721.43272536232</v>
      </c>
      <c r="F42" s="4">
        <f t="shared" si="12"/>
        <v>93721.43272536232</v>
      </c>
      <c r="G42" s="4">
        <f t="shared" si="12"/>
        <v>93721.43272536232</v>
      </c>
      <c r="H42" s="4">
        <f t="shared" si="12"/>
        <v>93721.43272536232</v>
      </c>
      <c r="I42" s="4">
        <f t="shared" si="12"/>
        <v>93721.43272536232</v>
      </c>
      <c r="J42" s="4">
        <f t="shared" si="12"/>
        <v>93721.43272536232</v>
      </c>
    </row>
    <row r="43" spans="3:10" ht="12.75">
      <c r="C43">
        <v>2022</v>
      </c>
      <c r="D43" s="4">
        <f aca="true" t="shared" si="13" ref="D43:D60">D42</f>
        <v>93721.43272536232</v>
      </c>
      <c r="E43" s="4">
        <f t="shared" si="12"/>
        <v>93721.43272536232</v>
      </c>
      <c r="F43" s="4">
        <f t="shared" si="12"/>
        <v>93721.43272536232</v>
      </c>
      <c r="G43" s="4">
        <f t="shared" si="12"/>
        <v>93721.43272536232</v>
      </c>
      <c r="H43" s="4">
        <f t="shared" si="12"/>
        <v>93721.43272536232</v>
      </c>
      <c r="I43" s="4">
        <f t="shared" si="12"/>
        <v>93721.43272536232</v>
      </c>
      <c r="J43" s="4">
        <f t="shared" si="12"/>
        <v>93721.43272536232</v>
      </c>
    </row>
    <row r="44" spans="3:10" ht="12.75">
      <c r="C44">
        <v>2023</v>
      </c>
      <c r="D44" s="4">
        <f t="shared" si="13"/>
        <v>93721.43272536232</v>
      </c>
      <c r="E44" s="4">
        <f t="shared" si="12"/>
        <v>93721.43272536232</v>
      </c>
      <c r="F44" s="4">
        <f t="shared" si="12"/>
        <v>93721.43272536232</v>
      </c>
      <c r="G44" s="4">
        <f t="shared" si="12"/>
        <v>93721.43272536232</v>
      </c>
      <c r="H44" s="4">
        <f t="shared" si="12"/>
        <v>93721.43272536232</v>
      </c>
      <c r="I44" s="4">
        <f t="shared" si="12"/>
        <v>93721.43272536232</v>
      </c>
      <c r="J44" s="4">
        <f t="shared" si="12"/>
        <v>93721.43272536232</v>
      </c>
    </row>
    <row r="45" spans="3:10" ht="12.75">
      <c r="C45">
        <v>2024</v>
      </c>
      <c r="D45" s="4">
        <f t="shared" si="13"/>
        <v>93721.43272536232</v>
      </c>
      <c r="E45" s="4">
        <f t="shared" si="12"/>
        <v>93721.43272536232</v>
      </c>
      <c r="F45" s="4">
        <f t="shared" si="12"/>
        <v>93721.43272536232</v>
      </c>
      <c r="G45" s="4">
        <f t="shared" si="12"/>
        <v>93721.43272536232</v>
      </c>
      <c r="H45" s="4">
        <f t="shared" si="12"/>
        <v>93721.43272536232</v>
      </c>
      <c r="I45" s="4">
        <f t="shared" si="12"/>
        <v>93721.43272536232</v>
      </c>
      <c r="J45" s="4">
        <f t="shared" si="12"/>
        <v>93721.43272536232</v>
      </c>
    </row>
    <row r="46" spans="3:10" ht="12.75">
      <c r="C46">
        <v>2025</v>
      </c>
      <c r="D46" s="4">
        <f t="shared" si="13"/>
        <v>93721.43272536232</v>
      </c>
      <c r="E46" s="4">
        <f t="shared" si="12"/>
        <v>93721.43272536232</v>
      </c>
      <c r="F46" s="4">
        <f t="shared" si="12"/>
        <v>93721.43272536232</v>
      </c>
      <c r="G46" s="4">
        <f t="shared" si="12"/>
        <v>93721.43272536232</v>
      </c>
      <c r="H46" s="4">
        <f t="shared" si="12"/>
        <v>93721.43272536232</v>
      </c>
      <c r="I46" s="4">
        <f t="shared" si="12"/>
        <v>93721.43272536232</v>
      </c>
      <c r="J46" s="4">
        <f t="shared" si="12"/>
        <v>93721.43272536232</v>
      </c>
    </row>
    <row r="47" spans="3:10" ht="12.75">
      <c r="C47">
        <v>2026</v>
      </c>
      <c r="D47" s="4">
        <f t="shared" si="13"/>
        <v>93721.43272536232</v>
      </c>
      <c r="E47" s="4">
        <f t="shared" si="12"/>
        <v>93721.43272536232</v>
      </c>
      <c r="F47" s="4">
        <f t="shared" si="12"/>
        <v>93721.43272536232</v>
      </c>
      <c r="G47" s="4">
        <f t="shared" si="12"/>
        <v>93721.43272536232</v>
      </c>
      <c r="H47" s="4">
        <f t="shared" si="12"/>
        <v>93721.43272536232</v>
      </c>
      <c r="I47" s="4">
        <f t="shared" si="12"/>
        <v>93721.43272536232</v>
      </c>
      <c r="J47" s="4">
        <f t="shared" si="12"/>
        <v>93721.43272536232</v>
      </c>
    </row>
    <row r="48" spans="3:10" ht="12.75">
      <c r="C48">
        <v>2027</v>
      </c>
      <c r="D48" s="4">
        <f t="shared" si="13"/>
        <v>93721.43272536232</v>
      </c>
      <c r="E48" s="4">
        <f t="shared" si="12"/>
        <v>93721.43272536232</v>
      </c>
      <c r="F48" s="4">
        <f t="shared" si="12"/>
        <v>93721.43272536232</v>
      </c>
      <c r="G48" s="4">
        <f t="shared" si="12"/>
        <v>93721.43272536232</v>
      </c>
      <c r="H48" s="4">
        <f t="shared" si="12"/>
        <v>93721.43272536232</v>
      </c>
      <c r="I48" s="4">
        <f t="shared" si="12"/>
        <v>93721.43272536232</v>
      </c>
      <c r="J48" s="4">
        <f t="shared" si="12"/>
        <v>93721.43272536232</v>
      </c>
    </row>
    <row r="49" spans="3:10" ht="12.75">
      <c r="C49">
        <v>2028</v>
      </c>
      <c r="D49" s="4">
        <f t="shared" si="13"/>
        <v>93721.43272536232</v>
      </c>
      <c r="E49" s="4">
        <f t="shared" si="12"/>
        <v>93721.43272536232</v>
      </c>
      <c r="F49" s="4">
        <f t="shared" si="12"/>
        <v>93721.43272536232</v>
      </c>
      <c r="G49" s="4">
        <f t="shared" si="12"/>
        <v>93721.43272536232</v>
      </c>
      <c r="H49" s="4">
        <f t="shared" si="12"/>
        <v>93721.43272536232</v>
      </c>
      <c r="I49" s="4">
        <f t="shared" si="12"/>
        <v>93721.43272536232</v>
      </c>
      <c r="J49" s="4">
        <f t="shared" si="12"/>
        <v>93721.43272536232</v>
      </c>
    </row>
    <row r="50" spans="3:10" ht="12.75">
      <c r="C50">
        <v>2029</v>
      </c>
      <c r="D50" s="4">
        <f t="shared" si="13"/>
        <v>93721.43272536232</v>
      </c>
      <c r="E50" s="4">
        <f t="shared" si="12"/>
        <v>93721.43272536232</v>
      </c>
      <c r="F50" s="4">
        <f t="shared" si="12"/>
        <v>93721.43272536232</v>
      </c>
      <c r="G50" s="4">
        <f t="shared" si="12"/>
        <v>93721.43272536232</v>
      </c>
      <c r="H50" s="4">
        <f t="shared" si="12"/>
        <v>93721.43272536232</v>
      </c>
      <c r="I50" s="4">
        <f t="shared" si="12"/>
        <v>93721.43272536232</v>
      </c>
      <c r="J50" s="4">
        <f t="shared" si="12"/>
        <v>93721.43272536232</v>
      </c>
    </row>
    <row r="51" spans="3:10" ht="12.75">
      <c r="C51">
        <v>2030</v>
      </c>
      <c r="D51" s="4">
        <f t="shared" si="13"/>
        <v>93721.43272536232</v>
      </c>
      <c r="E51" s="4">
        <f t="shared" si="12"/>
        <v>93721.43272536232</v>
      </c>
      <c r="F51" s="4">
        <f t="shared" si="12"/>
        <v>93721.43272536232</v>
      </c>
      <c r="G51" s="4">
        <f t="shared" si="12"/>
        <v>93721.43272536232</v>
      </c>
      <c r="H51" s="4">
        <f t="shared" si="12"/>
        <v>93721.43272536232</v>
      </c>
      <c r="I51" s="4">
        <f t="shared" si="12"/>
        <v>93721.43272536232</v>
      </c>
      <c r="J51" s="4">
        <f t="shared" si="12"/>
        <v>93721.43272536232</v>
      </c>
    </row>
    <row r="52" spans="3:10" ht="12.75">
      <c r="C52">
        <v>2031</v>
      </c>
      <c r="D52" s="4">
        <f t="shared" si="13"/>
        <v>93721.43272536232</v>
      </c>
      <c r="E52" s="4">
        <f t="shared" si="12"/>
        <v>93721.43272536232</v>
      </c>
      <c r="F52" s="4">
        <f t="shared" si="12"/>
        <v>93721.43272536232</v>
      </c>
      <c r="G52" s="4">
        <f t="shared" si="12"/>
        <v>93721.43272536232</v>
      </c>
      <c r="H52" s="4">
        <f t="shared" si="12"/>
        <v>93721.43272536232</v>
      </c>
      <c r="I52" s="4">
        <f t="shared" si="12"/>
        <v>93721.43272536232</v>
      </c>
      <c r="J52" s="4">
        <f t="shared" si="12"/>
        <v>93721.43272536232</v>
      </c>
    </row>
    <row r="53" spans="3:10" ht="12.75">
      <c r="C53">
        <v>2032</v>
      </c>
      <c r="D53" s="4">
        <f t="shared" si="13"/>
        <v>93721.43272536232</v>
      </c>
      <c r="E53" s="4">
        <f t="shared" si="12"/>
        <v>93721.43272536232</v>
      </c>
      <c r="F53" s="4">
        <f t="shared" si="12"/>
        <v>93721.43272536232</v>
      </c>
      <c r="G53" s="4">
        <f t="shared" si="12"/>
        <v>93721.43272536232</v>
      </c>
      <c r="H53" s="4">
        <f t="shared" si="12"/>
        <v>93721.43272536232</v>
      </c>
      <c r="I53" s="4">
        <f t="shared" si="12"/>
        <v>93721.43272536232</v>
      </c>
      <c r="J53" s="4">
        <f t="shared" si="12"/>
        <v>93721.43272536232</v>
      </c>
    </row>
    <row r="54" spans="3:10" ht="12.75">
      <c r="C54">
        <v>2033</v>
      </c>
      <c r="D54" s="4">
        <f t="shared" si="13"/>
        <v>93721.43272536232</v>
      </c>
      <c r="E54" s="4">
        <f t="shared" si="12"/>
        <v>93721.43272536232</v>
      </c>
      <c r="F54" s="4">
        <f t="shared" si="12"/>
        <v>93721.43272536232</v>
      </c>
      <c r="G54" s="4">
        <f t="shared" si="12"/>
        <v>93721.43272536232</v>
      </c>
      <c r="H54" s="4">
        <f t="shared" si="12"/>
        <v>93721.43272536232</v>
      </c>
      <c r="I54" s="4">
        <f t="shared" si="12"/>
        <v>93721.43272536232</v>
      </c>
      <c r="J54" s="4">
        <f t="shared" si="12"/>
        <v>93721.43272536232</v>
      </c>
    </row>
    <row r="55" spans="3:10" ht="12.75">
      <c r="C55">
        <v>2034</v>
      </c>
      <c r="D55" s="4">
        <f t="shared" si="13"/>
        <v>93721.43272536232</v>
      </c>
      <c r="E55" s="4">
        <f t="shared" si="12"/>
        <v>93721.43272536232</v>
      </c>
      <c r="F55" s="4">
        <f t="shared" si="12"/>
        <v>93721.43272536232</v>
      </c>
      <c r="G55" s="4">
        <f t="shared" si="12"/>
        <v>93721.43272536232</v>
      </c>
      <c r="H55" s="4">
        <f t="shared" si="12"/>
        <v>93721.43272536232</v>
      </c>
      <c r="I55" s="4">
        <f t="shared" si="12"/>
        <v>93721.43272536232</v>
      </c>
      <c r="J55" s="4">
        <f t="shared" si="12"/>
        <v>93721.43272536232</v>
      </c>
    </row>
    <row r="56" spans="3:10" ht="12.75">
      <c r="C56">
        <v>2035</v>
      </c>
      <c r="D56" s="4">
        <f t="shared" si="13"/>
        <v>93721.43272536232</v>
      </c>
      <c r="E56" s="4">
        <f t="shared" si="12"/>
        <v>93721.43272536232</v>
      </c>
      <c r="F56" s="4">
        <f t="shared" si="12"/>
        <v>93721.43272536232</v>
      </c>
      <c r="G56" s="4">
        <f t="shared" si="12"/>
        <v>93721.43272536232</v>
      </c>
      <c r="H56" s="4">
        <f t="shared" si="12"/>
        <v>93721.43272536232</v>
      </c>
      <c r="I56" s="4">
        <f t="shared" si="12"/>
        <v>93721.43272536232</v>
      </c>
      <c r="J56" s="4">
        <f t="shared" si="12"/>
        <v>93721.43272536232</v>
      </c>
    </row>
    <row r="57" spans="3:10" ht="12.75">
      <c r="C57">
        <v>2036</v>
      </c>
      <c r="D57" s="4">
        <f t="shared" si="13"/>
        <v>93721.43272536232</v>
      </c>
      <c r="E57" s="4">
        <f t="shared" si="12"/>
        <v>93721.43272536232</v>
      </c>
      <c r="F57" s="4">
        <f t="shared" si="12"/>
        <v>93721.43272536232</v>
      </c>
      <c r="G57" s="4">
        <f t="shared" si="12"/>
        <v>93721.43272536232</v>
      </c>
      <c r="H57" s="4">
        <f t="shared" si="12"/>
        <v>93721.43272536232</v>
      </c>
      <c r="I57" s="4">
        <f t="shared" si="12"/>
        <v>93721.43272536232</v>
      </c>
      <c r="J57" s="4">
        <f t="shared" si="12"/>
        <v>93721.43272536232</v>
      </c>
    </row>
    <row r="58" spans="3:10" ht="12.75">
      <c r="C58">
        <v>2037</v>
      </c>
      <c r="D58" s="4">
        <f t="shared" si="13"/>
        <v>93721.43272536232</v>
      </c>
      <c r="E58" s="4">
        <f aca="true" t="shared" si="14" ref="E58:J60">E57</f>
        <v>93721.43272536232</v>
      </c>
      <c r="F58" s="4">
        <f t="shared" si="14"/>
        <v>93721.43272536232</v>
      </c>
      <c r="G58" s="4">
        <f t="shared" si="14"/>
        <v>93721.43272536232</v>
      </c>
      <c r="H58" s="4">
        <f t="shared" si="14"/>
        <v>93721.43272536232</v>
      </c>
      <c r="I58" s="4">
        <f t="shared" si="14"/>
        <v>93721.43272536232</v>
      </c>
      <c r="J58" s="4">
        <f t="shared" si="14"/>
        <v>93721.43272536232</v>
      </c>
    </row>
    <row r="59" spans="3:10" ht="12.75">
      <c r="C59">
        <v>2038</v>
      </c>
      <c r="D59" s="4">
        <f t="shared" si="13"/>
        <v>93721.43272536232</v>
      </c>
      <c r="E59" s="4">
        <f t="shared" si="14"/>
        <v>93721.43272536232</v>
      </c>
      <c r="F59" s="4">
        <f t="shared" si="14"/>
        <v>93721.43272536232</v>
      </c>
      <c r="G59" s="4">
        <f t="shared" si="14"/>
        <v>93721.43272536232</v>
      </c>
      <c r="H59" s="4">
        <f t="shared" si="14"/>
        <v>93721.43272536232</v>
      </c>
      <c r="I59" s="4">
        <f t="shared" si="14"/>
        <v>93721.43272536232</v>
      </c>
      <c r="J59" s="4">
        <f t="shared" si="14"/>
        <v>93721.43272536232</v>
      </c>
    </row>
    <row r="60" spans="3:10" ht="12.75">
      <c r="C60">
        <v>2039</v>
      </c>
      <c r="D60" s="4">
        <f t="shared" si="13"/>
        <v>93721.43272536232</v>
      </c>
      <c r="E60" s="4">
        <f t="shared" si="14"/>
        <v>93721.43272536232</v>
      </c>
      <c r="F60" s="4">
        <f t="shared" si="14"/>
        <v>93721.43272536232</v>
      </c>
      <c r="G60" s="4">
        <f t="shared" si="14"/>
        <v>93721.43272536232</v>
      </c>
      <c r="H60" s="4">
        <f t="shared" si="14"/>
        <v>93721.43272536232</v>
      </c>
      <c r="I60" s="4">
        <f t="shared" si="14"/>
        <v>93721.43272536232</v>
      </c>
      <c r="J60" s="4">
        <f t="shared" si="14"/>
        <v>93721.43272536232</v>
      </c>
    </row>
    <row r="62" spans="3:10" ht="12.75">
      <c r="C62" t="s">
        <v>30</v>
      </c>
      <c r="D62" s="29">
        <f>NPV('Data and assumptions'!$D$62,D27:D41)</f>
        <v>-340065.58554149995</v>
      </c>
      <c r="E62" s="29">
        <f>NPV('Data and assumptions'!$D$62,E27:E41)</f>
        <v>-314708.31127025513</v>
      </c>
      <c r="F62" s="29">
        <f>NPV('Data and assumptions'!$D$62,F27:F41)</f>
        <v>-295343.9655266076</v>
      </c>
      <c r="G62" s="29">
        <f>NPV('Data and assumptions'!$D$62,G27:G41)</f>
        <v>-280815.2973566328</v>
      </c>
      <c r="H62" s="29">
        <f>NPV('Data and assumptions'!$D$62,H27:H41)</f>
        <v>-270761.56684159837</v>
      </c>
      <c r="I62" s="29">
        <f>NPV('Data and assumptions'!$D$62,I27:I41)</f>
        <v>-264436.2483684358</v>
      </c>
      <c r="J62" s="29">
        <f>NPV('Data and assumptions'!$D$62,J27:J41)</f>
        <v>-261069.21651820396</v>
      </c>
    </row>
    <row r="63" spans="5:10" ht="12.75">
      <c r="E63" s="29"/>
      <c r="F63" s="29"/>
      <c r="G63" s="29"/>
      <c r="H63" s="29"/>
      <c r="I63" s="29"/>
      <c r="J63" s="2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="90" zoomScaleNormal="90" workbookViewId="0" topLeftCell="A1">
      <selection activeCell="F17" sqref="F17"/>
    </sheetView>
  </sheetViews>
  <sheetFormatPr defaultColWidth="9.140625" defaultRowHeight="12.75"/>
  <cols>
    <col min="3" max="3" width="27.421875" style="0" customWidth="1"/>
  </cols>
  <sheetData>
    <row r="1" ht="15.75">
      <c r="A1" s="19" t="s">
        <v>94</v>
      </c>
    </row>
    <row r="3" spans="2:8" ht="12.75">
      <c r="B3" s="18" t="s">
        <v>95</v>
      </c>
      <c r="H3" s="18" t="s">
        <v>121</v>
      </c>
    </row>
    <row r="4" ht="12.75">
      <c r="B4" s="20" t="s">
        <v>71</v>
      </c>
    </row>
    <row r="5" spans="3:9" ht="12.75">
      <c r="C5" t="s">
        <v>72</v>
      </c>
      <c r="D5" s="3">
        <v>1</v>
      </c>
      <c r="E5" t="s">
        <v>96</v>
      </c>
      <c r="H5" s="3"/>
      <c r="I5" t="s">
        <v>122</v>
      </c>
    </row>
    <row r="6" spans="3:9" ht="12.75">
      <c r="C6" t="s">
        <v>75</v>
      </c>
      <c r="D6" s="3">
        <v>1</v>
      </c>
      <c r="E6" t="s">
        <v>96</v>
      </c>
      <c r="H6" s="23"/>
      <c r="I6" t="s">
        <v>123</v>
      </c>
    </row>
    <row r="7" spans="2:9" ht="12.75">
      <c r="B7" s="20" t="s">
        <v>97</v>
      </c>
      <c r="H7" s="21"/>
      <c r="I7" t="s">
        <v>170</v>
      </c>
    </row>
    <row r="8" spans="3:5" ht="12.75">
      <c r="C8" t="s">
        <v>98</v>
      </c>
      <c r="D8" s="35">
        <v>1</v>
      </c>
      <c r="E8" t="s">
        <v>96</v>
      </c>
    </row>
    <row r="9" spans="3:5" ht="12.75">
      <c r="C9" t="s">
        <v>99</v>
      </c>
      <c r="D9" s="21">
        <f>IF(D8=0,1,0)</f>
        <v>0</v>
      </c>
      <c r="E9" t="s">
        <v>103</v>
      </c>
    </row>
    <row r="10" ht="12.75">
      <c r="B10" s="20" t="s">
        <v>100</v>
      </c>
    </row>
    <row r="11" spans="3:5" ht="12.75">
      <c r="C11" t="s">
        <v>101</v>
      </c>
      <c r="D11" s="35">
        <v>1</v>
      </c>
      <c r="E11" t="s">
        <v>96</v>
      </c>
    </row>
    <row r="12" spans="3:5" ht="12.75">
      <c r="C12" t="s">
        <v>102</v>
      </c>
      <c r="D12" s="21">
        <f>IF(D11=0,1,0)</f>
        <v>0</v>
      </c>
      <c r="E12" t="s">
        <v>103</v>
      </c>
    </row>
    <row r="13" ht="12.75">
      <c r="B13" s="20" t="s">
        <v>104</v>
      </c>
    </row>
    <row r="14" spans="2:5" ht="12.75">
      <c r="B14" s="20"/>
      <c r="C14" t="s">
        <v>34</v>
      </c>
      <c r="D14" s="35">
        <v>1</v>
      </c>
      <c r="E14" t="s">
        <v>96</v>
      </c>
    </row>
    <row r="15" spans="3:5" ht="12.75">
      <c r="C15" t="s">
        <v>105</v>
      </c>
      <c r="D15" s="21">
        <f>IF(D14=0,1,0)</f>
        <v>0</v>
      </c>
      <c r="E15" t="s">
        <v>103</v>
      </c>
    </row>
    <row r="17" ht="12.75">
      <c r="B17" s="18" t="s">
        <v>106</v>
      </c>
    </row>
    <row r="18" ht="12.75">
      <c r="B18" s="20" t="s">
        <v>15</v>
      </c>
    </row>
    <row r="19" spans="3:5" ht="12.75">
      <c r="C19" t="s">
        <v>23</v>
      </c>
      <c r="D19" s="35">
        <v>4</v>
      </c>
      <c r="E19" t="s">
        <v>107</v>
      </c>
    </row>
    <row r="20" spans="3:5" ht="12.75">
      <c r="C20" t="s">
        <v>17</v>
      </c>
      <c r="D20" s="35">
        <v>2</v>
      </c>
      <c r="E20" t="s">
        <v>107</v>
      </c>
    </row>
    <row r="21" spans="2:4" ht="12.75">
      <c r="B21" s="20" t="s">
        <v>108</v>
      </c>
      <c r="D21" s="36"/>
    </row>
    <row r="22" spans="3:5" ht="12.75">
      <c r="C22" t="s">
        <v>109</v>
      </c>
      <c r="D22" s="35">
        <v>21</v>
      </c>
      <c r="E22" t="s">
        <v>111</v>
      </c>
    </row>
    <row r="23" spans="3:5" ht="12.75">
      <c r="C23" t="s">
        <v>110</v>
      </c>
      <c r="D23" s="35">
        <v>40</v>
      </c>
      <c r="E23" t="s">
        <v>112</v>
      </c>
    </row>
    <row r="24" spans="2:4" ht="12.75">
      <c r="B24" s="20" t="s">
        <v>0</v>
      </c>
      <c r="D24" s="36"/>
    </row>
    <row r="25" spans="3:4" ht="12.75">
      <c r="C25" t="s">
        <v>113</v>
      </c>
      <c r="D25" s="35">
        <v>30</v>
      </c>
    </row>
    <row r="26" spans="3:4" ht="12.75">
      <c r="C26" t="s">
        <v>127</v>
      </c>
      <c r="D26" s="35">
        <v>0.8</v>
      </c>
    </row>
    <row r="27" spans="2:4" ht="12.75">
      <c r="B27" s="20" t="s">
        <v>36</v>
      </c>
      <c r="D27" s="36"/>
    </row>
    <row r="28" spans="3:5" ht="12.75">
      <c r="C28" t="s">
        <v>114</v>
      </c>
      <c r="D28" s="35">
        <v>757</v>
      </c>
      <c r="E28" t="s">
        <v>92</v>
      </c>
    </row>
    <row r="29" spans="3:5" ht="12.75">
      <c r="C29" t="s">
        <v>115</v>
      </c>
      <c r="D29" s="35">
        <v>150</v>
      </c>
      <c r="E29" t="s">
        <v>92</v>
      </c>
    </row>
    <row r="30" spans="3:5" ht="12.75">
      <c r="C30" t="s">
        <v>146</v>
      </c>
      <c r="D30" s="35">
        <v>44</v>
      </c>
      <c r="E30" t="s">
        <v>92</v>
      </c>
    </row>
    <row r="31" spans="3:5" ht="12.75">
      <c r="C31" t="s">
        <v>40</v>
      </c>
      <c r="D31" s="35">
        <v>10</v>
      </c>
      <c r="E31" t="s">
        <v>116</v>
      </c>
    </row>
    <row r="32" spans="2:4" ht="12.75">
      <c r="B32" s="22" t="s">
        <v>104</v>
      </c>
      <c r="D32" s="36"/>
    </row>
    <row r="33" spans="3:5" ht="12.75">
      <c r="C33" t="s">
        <v>34</v>
      </c>
      <c r="D33" s="35">
        <v>7.4</v>
      </c>
      <c r="E33" t="s">
        <v>118</v>
      </c>
    </row>
    <row r="34" spans="3:5" ht="12.75">
      <c r="C34" t="s">
        <v>117</v>
      </c>
      <c r="D34" s="35">
        <v>5</v>
      </c>
      <c r="E34" t="s">
        <v>118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D12" sqref="D12"/>
    </sheetView>
  </sheetViews>
  <sheetFormatPr defaultColWidth="9.140625" defaultRowHeight="12.75"/>
  <sheetData>
    <row r="2" spans="2:7" ht="12.75">
      <c r="B2" t="s">
        <v>71</v>
      </c>
      <c r="C2" t="s">
        <v>38</v>
      </c>
      <c r="D2">
        <v>0</v>
      </c>
      <c r="F2" t="s">
        <v>74</v>
      </c>
      <c r="G2" s="23">
        <f>IF('Key Assumptions'!D5=1,IF('Key Assumptions'!D6=1,2,1),0)</f>
        <v>2</v>
      </c>
    </row>
    <row r="3" spans="3:4" ht="12.75">
      <c r="C3" t="s">
        <v>72</v>
      </c>
      <c r="D3">
        <v>1</v>
      </c>
    </row>
    <row r="4" spans="3:4" ht="12.75">
      <c r="C4" t="s">
        <v>73</v>
      </c>
      <c r="D4">
        <v>2</v>
      </c>
    </row>
    <row r="6" spans="1:11" ht="12.75">
      <c r="A6" t="s">
        <v>0</v>
      </c>
      <c r="K6" t="s">
        <v>49</v>
      </c>
    </row>
    <row r="7" spans="3:14" ht="12.75">
      <c r="C7" t="s">
        <v>6</v>
      </c>
      <c r="D7" t="s">
        <v>1</v>
      </c>
      <c r="F7" t="s">
        <v>5</v>
      </c>
      <c r="H7" t="s">
        <v>3</v>
      </c>
      <c r="I7" t="s">
        <v>4</v>
      </c>
      <c r="K7" t="s">
        <v>6</v>
      </c>
      <c r="L7" t="s">
        <v>1</v>
      </c>
      <c r="N7" t="s">
        <v>5</v>
      </c>
    </row>
    <row r="8" spans="2:15" ht="12.75">
      <c r="B8">
        <v>2006</v>
      </c>
      <c r="C8">
        <v>20411</v>
      </c>
      <c r="D8">
        <v>0</v>
      </c>
      <c r="F8">
        <f>C8-D8</f>
        <v>20411</v>
      </c>
      <c r="H8">
        <f>F8*$D$29</f>
        <v>10205.5</v>
      </c>
      <c r="I8">
        <f>F8*$D$30</f>
        <v>10205.5</v>
      </c>
      <c r="K8">
        <v>179100</v>
      </c>
      <c r="L8">
        <v>0</v>
      </c>
      <c r="N8">
        <f>K8-L8</f>
        <v>179100</v>
      </c>
      <c r="O8" s="1">
        <v>0</v>
      </c>
    </row>
    <row r="9" spans="2:15" ht="12.75">
      <c r="B9">
        <v>2007</v>
      </c>
      <c r="C9">
        <v>21657</v>
      </c>
      <c r="D9">
        <v>0</v>
      </c>
      <c r="F9">
        <f aca="true" t="shared" si="0" ref="F9:F22">C9-D9</f>
        <v>21657</v>
      </c>
      <c r="H9">
        <f aca="true" t="shared" si="1" ref="H9:H22">F9*$D$29</f>
        <v>10828.5</v>
      </c>
      <c r="I9">
        <f aca="true" t="shared" si="2" ref="I9:I22">F9*$D$30</f>
        <v>10828.5</v>
      </c>
      <c r="K9">
        <v>183300</v>
      </c>
      <c r="L9">
        <v>0</v>
      </c>
      <c r="N9">
        <f aca="true" t="shared" si="3" ref="N9:N16">K9-L9</f>
        <v>183300</v>
      </c>
      <c r="O9" s="1">
        <f>(N9/$N$8)-1</f>
        <v>0.02345058626465657</v>
      </c>
    </row>
    <row r="10" spans="2:15" ht="12.75">
      <c r="B10">
        <v>2008</v>
      </c>
      <c r="C10">
        <v>22563</v>
      </c>
      <c r="D10">
        <v>0</v>
      </c>
      <c r="F10">
        <f t="shared" si="0"/>
        <v>22563</v>
      </c>
      <c r="H10">
        <f t="shared" si="1"/>
        <v>11281.5</v>
      </c>
      <c r="I10">
        <f t="shared" si="2"/>
        <v>11281.5</v>
      </c>
      <c r="K10">
        <v>186800</v>
      </c>
      <c r="L10">
        <v>0</v>
      </c>
      <c r="N10">
        <f t="shared" si="3"/>
        <v>186800</v>
      </c>
      <c r="O10" s="1">
        <f aca="true" t="shared" si="4" ref="O10:O22">(N10/$N$8)-1</f>
        <v>0.04299274148520382</v>
      </c>
    </row>
    <row r="11" spans="2:15" ht="12.75">
      <c r="B11">
        <v>2009</v>
      </c>
      <c r="C11">
        <v>23613</v>
      </c>
      <c r="D11">
        <v>372</v>
      </c>
      <c r="F11">
        <f t="shared" si="0"/>
        <v>23241</v>
      </c>
      <c r="H11">
        <f t="shared" si="1"/>
        <v>11620.5</v>
      </c>
      <c r="I11">
        <f t="shared" si="2"/>
        <v>11620.5</v>
      </c>
      <c r="K11">
        <v>189900</v>
      </c>
      <c r="L11">
        <v>3000</v>
      </c>
      <c r="N11">
        <f t="shared" si="3"/>
        <v>186900</v>
      </c>
      <c r="O11" s="1">
        <f t="shared" si="4"/>
        <v>0.04355108877721947</v>
      </c>
    </row>
    <row r="12" spans="2:15" ht="12.75">
      <c r="B12">
        <v>2010</v>
      </c>
      <c r="C12">
        <v>24717</v>
      </c>
      <c r="D12">
        <v>522</v>
      </c>
      <c r="F12">
        <f t="shared" si="0"/>
        <v>24195</v>
      </c>
      <c r="H12">
        <f t="shared" si="1"/>
        <v>12097.5</v>
      </c>
      <c r="I12">
        <f t="shared" si="2"/>
        <v>12097.5</v>
      </c>
      <c r="K12">
        <v>193400</v>
      </c>
      <c r="L12">
        <v>5000</v>
      </c>
      <c r="N12">
        <f t="shared" si="3"/>
        <v>188400</v>
      </c>
      <c r="O12" s="1">
        <f t="shared" si="4"/>
        <v>0.051926298157453976</v>
      </c>
    </row>
    <row r="13" spans="2:15" ht="12.75">
      <c r="B13">
        <v>2011</v>
      </c>
      <c r="C13">
        <v>25823</v>
      </c>
      <c r="D13">
        <f>24396-23499</f>
        <v>897</v>
      </c>
      <c r="F13">
        <f t="shared" si="0"/>
        <v>24926</v>
      </c>
      <c r="H13">
        <f t="shared" si="1"/>
        <v>12463</v>
      </c>
      <c r="I13">
        <f t="shared" si="2"/>
        <v>12463</v>
      </c>
      <c r="K13">
        <v>202500</v>
      </c>
      <c r="L13">
        <v>6000</v>
      </c>
      <c r="N13">
        <f t="shared" si="3"/>
        <v>196500</v>
      </c>
      <c r="O13" s="1">
        <f t="shared" si="4"/>
        <v>0.09715242881072017</v>
      </c>
    </row>
    <row r="14" spans="2:15" ht="12.75">
      <c r="B14">
        <v>2012</v>
      </c>
      <c r="C14">
        <v>26771</v>
      </c>
      <c r="D14">
        <f>25281-24337</f>
        <v>944</v>
      </c>
      <c r="F14">
        <f t="shared" si="0"/>
        <v>25827</v>
      </c>
      <c r="H14">
        <f t="shared" si="1"/>
        <v>12913.5</v>
      </c>
      <c r="I14">
        <f t="shared" si="2"/>
        <v>12913.5</v>
      </c>
      <c r="K14">
        <v>208200</v>
      </c>
      <c r="L14">
        <v>6000</v>
      </c>
      <c r="N14">
        <f t="shared" si="3"/>
        <v>202200</v>
      </c>
      <c r="O14" s="1">
        <f t="shared" si="4"/>
        <v>0.12897822445561147</v>
      </c>
    </row>
    <row r="15" spans="2:15" ht="12.75">
      <c r="B15">
        <v>2013</v>
      </c>
      <c r="C15">
        <v>27671</v>
      </c>
      <c r="D15">
        <f>26198-25194</f>
        <v>1004</v>
      </c>
      <c r="F15">
        <f t="shared" si="0"/>
        <v>26667</v>
      </c>
      <c r="H15">
        <f t="shared" si="1"/>
        <v>13333.5</v>
      </c>
      <c r="I15">
        <f t="shared" si="2"/>
        <v>13333.5</v>
      </c>
      <c r="K15">
        <v>213500</v>
      </c>
      <c r="L15">
        <v>8000</v>
      </c>
      <c r="N15">
        <f t="shared" si="3"/>
        <v>205500</v>
      </c>
      <c r="O15" s="1">
        <f t="shared" si="4"/>
        <v>0.1474036850921272</v>
      </c>
    </row>
    <row r="16" spans="2:15" ht="12.75">
      <c r="B16">
        <v>2014</v>
      </c>
      <c r="C16">
        <v>28539</v>
      </c>
      <c r="D16">
        <f>27150-25979</f>
        <v>1171</v>
      </c>
      <c r="F16">
        <f t="shared" si="0"/>
        <v>27368</v>
      </c>
      <c r="H16">
        <f t="shared" si="1"/>
        <v>13684</v>
      </c>
      <c r="I16">
        <f t="shared" si="2"/>
        <v>13684</v>
      </c>
      <c r="K16">
        <v>218800</v>
      </c>
      <c r="L16">
        <v>9000</v>
      </c>
      <c r="N16">
        <f t="shared" si="3"/>
        <v>209800</v>
      </c>
      <c r="O16" s="1">
        <f t="shared" si="4"/>
        <v>0.17141261864879964</v>
      </c>
    </row>
    <row r="17" spans="2:15" ht="12.75">
      <c r="B17">
        <v>2015</v>
      </c>
      <c r="C17">
        <v>29395</v>
      </c>
      <c r="D17">
        <f>28137-26252</f>
        <v>1885</v>
      </c>
      <c r="F17">
        <f t="shared" si="0"/>
        <v>27510</v>
      </c>
      <c r="H17">
        <f t="shared" si="1"/>
        <v>13755</v>
      </c>
      <c r="I17">
        <f t="shared" si="2"/>
        <v>13755</v>
      </c>
      <c r="K17">
        <v>223800</v>
      </c>
      <c r="L17">
        <v>15000</v>
      </c>
      <c r="N17">
        <f aca="true" t="shared" si="5" ref="N17:N22">N16</f>
        <v>209800</v>
      </c>
      <c r="O17" s="1">
        <f t="shared" si="4"/>
        <v>0.17141261864879964</v>
      </c>
    </row>
    <row r="18" spans="2:15" ht="12.75">
      <c r="B18">
        <v>2016</v>
      </c>
      <c r="C18">
        <v>30500</v>
      </c>
      <c r="D18">
        <f>29110-26497</f>
        <v>2613</v>
      </c>
      <c r="F18">
        <f t="shared" si="0"/>
        <v>27887</v>
      </c>
      <c r="H18">
        <f t="shared" si="1"/>
        <v>13943.5</v>
      </c>
      <c r="I18">
        <f t="shared" si="2"/>
        <v>13943.5</v>
      </c>
      <c r="K18">
        <v>228800</v>
      </c>
      <c r="L18">
        <v>21000</v>
      </c>
      <c r="N18">
        <f t="shared" si="5"/>
        <v>209800</v>
      </c>
      <c r="O18" s="1">
        <f t="shared" si="4"/>
        <v>0.17141261864879964</v>
      </c>
    </row>
    <row r="19" spans="2:15" ht="12.75">
      <c r="B19">
        <v>2017</v>
      </c>
      <c r="C19">
        <v>31500</v>
      </c>
      <c r="D19">
        <f>30078-26738</f>
        <v>3340</v>
      </c>
      <c r="F19">
        <f t="shared" si="0"/>
        <v>28160</v>
      </c>
      <c r="H19">
        <f t="shared" si="1"/>
        <v>14080</v>
      </c>
      <c r="I19">
        <f t="shared" si="2"/>
        <v>14080</v>
      </c>
      <c r="K19">
        <v>233800</v>
      </c>
      <c r="L19">
        <v>28000</v>
      </c>
      <c r="N19">
        <f t="shared" si="5"/>
        <v>209800</v>
      </c>
      <c r="O19" s="1">
        <f t="shared" si="4"/>
        <v>0.17141261864879964</v>
      </c>
    </row>
    <row r="20" spans="2:15" ht="12.75">
      <c r="B20">
        <v>2018</v>
      </c>
      <c r="C20">
        <v>32500</v>
      </c>
      <c r="D20">
        <f>31079-26981</f>
        <v>4098</v>
      </c>
      <c r="F20">
        <f t="shared" si="0"/>
        <v>28402</v>
      </c>
      <c r="H20">
        <f t="shared" si="1"/>
        <v>14201</v>
      </c>
      <c r="I20">
        <f t="shared" si="2"/>
        <v>14201</v>
      </c>
      <c r="K20">
        <v>238800</v>
      </c>
      <c r="L20">
        <v>33000</v>
      </c>
      <c r="N20">
        <f t="shared" si="5"/>
        <v>209800</v>
      </c>
      <c r="O20" s="1">
        <f t="shared" si="4"/>
        <v>0.17141261864879964</v>
      </c>
    </row>
    <row r="21" spans="2:15" ht="12.75">
      <c r="B21">
        <v>2019</v>
      </c>
      <c r="C21">
        <v>33500</v>
      </c>
      <c r="D21">
        <f>32114-27228</f>
        <v>4886</v>
      </c>
      <c r="F21">
        <f t="shared" si="0"/>
        <v>28614</v>
      </c>
      <c r="H21">
        <f t="shared" si="1"/>
        <v>14307</v>
      </c>
      <c r="I21">
        <f t="shared" si="2"/>
        <v>14307</v>
      </c>
      <c r="K21">
        <v>243800</v>
      </c>
      <c r="L21">
        <v>40000</v>
      </c>
      <c r="N21">
        <f t="shared" si="5"/>
        <v>209800</v>
      </c>
      <c r="O21" s="1">
        <f t="shared" si="4"/>
        <v>0.17141261864879964</v>
      </c>
    </row>
    <row r="22" spans="2:15" ht="12.75">
      <c r="B22">
        <v>2020</v>
      </c>
      <c r="C22">
        <v>34500</v>
      </c>
      <c r="D22">
        <f>33176-27478</f>
        <v>5698</v>
      </c>
      <c r="F22">
        <f t="shared" si="0"/>
        <v>28802</v>
      </c>
      <c r="H22">
        <f t="shared" si="1"/>
        <v>14401</v>
      </c>
      <c r="I22">
        <f t="shared" si="2"/>
        <v>14401</v>
      </c>
      <c r="K22">
        <v>248800</v>
      </c>
      <c r="L22">
        <v>47000</v>
      </c>
      <c r="N22">
        <f t="shared" si="5"/>
        <v>209800</v>
      </c>
      <c r="O22" s="1">
        <f t="shared" si="4"/>
        <v>0.17141261864879964</v>
      </c>
    </row>
    <row r="24" ht="12.75">
      <c r="B24" t="s">
        <v>43</v>
      </c>
    </row>
    <row r="25" ht="12.75">
      <c r="B25" t="s">
        <v>44</v>
      </c>
    </row>
    <row r="26" ht="12.75">
      <c r="B26" t="s">
        <v>45</v>
      </c>
    </row>
    <row r="28" ht="12.75">
      <c r="B28" t="s">
        <v>2</v>
      </c>
    </row>
    <row r="29" spans="2:9" ht="12.75">
      <c r="B29" t="s">
        <v>3</v>
      </c>
      <c r="D29" s="2">
        <v>0.5</v>
      </c>
      <c r="E29" t="s">
        <v>20</v>
      </c>
      <c r="G29" t="s">
        <v>23</v>
      </c>
      <c r="H29" s="24">
        <f>'Key Assumptions'!D25/100</f>
        <v>0.3</v>
      </c>
      <c r="I29" t="s">
        <v>20</v>
      </c>
    </row>
    <row r="30" spans="2:8" ht="12.75">
      <c r="B30" t="s">
        <v>4</v>
      </c>
      <c r="D30" s="1">
        <f>1-D29</f>
        <v>0.5</v>
      </c>
      <c r="G30" t="s">
        <v>17</v>
      </c>
      <c r="H30" s="5">
        <f>1-H29</f>
        <v>0.7</v>
      </c>
    </row>
    <row r="32" spans="2:6" ht="12.75">
      <c r="B32" t="s">
        <v>11</v>
      </c>
      <c r="F32" t="s">
        <v>12</v>
      </c>
    </row>
    <row r="33" spans="2:7" ht="12.75">
      <c r="B33" t="s">
        <v>32</v>
      </c>
      <c r="D33" s="2">
        <v>0.14</v>
      </c>
      <c r="E33" t="s">
        <v>20</v>
      </c>
      <c r="F33" s="3">
        <v>23.8</v>
      </c>
      <c r="G33" t="s">
        <v>19</v>
      </c>
    </row>
    <row r="34" spans="2:7" ht="12.75">
      <c r="B34" t="s">
        <v>8</v>
      </c>
      <c r="D34" s="2">
        <v>0.01</v>
      </c>
      <c r="E34" t="s">
        <v>20</v>
      </c>
      <c r="F34" s="3">
        <v>53.6</v>
      </c>
      <c r="G34" t="s">
        <v>19</v>
      </c>
    </row>
    <row r="35" spans="2:7" ht="12.75">
      <c r="B35" t="s">
        <v>10</v>
      </c>
      <c r="D35" s="1">
        <f>1-D33-D34</f>
        <v>0.85</v>
      </c>
      <c r="F35" s="3">
        <v>1</v>
      </c>
      <c r="G35" t="s">
        <v>19</v>
      </c>
    </row>
    <row r="36" spans="4:6" ht="12.75">
      <c r="D36" s="1"/>
      <c r="F36" s="13"/>
    </row>
    <row r="37" spans="2:6" ht="12.75">
      <c r="B37" t="s">
        <v>70</v>
      </c>
      <c r="D37" s="1"/>
      <c r="F37" s="13"/>
    </row>
    <row r="38" spans="2:6" ht="12.75">
      <c r="B38" s="15" t="s">
        <v>78</v>
      </c>
      <c r="D38" s="1"/>
      <c r="F38" s="23">
        <f>IF('Key Assumptions'!D8=1,0,1)</f>
        <v>0</v>
      </c>
    </row>
    <row r="40" ht="12.75">
      <c r="B40" t="s">
        <v>15</v>
      </c>
    </row>
    <row r="41" spans="2:5" ht="12.75">
      <c r="B41" t="s">
        <v>16</v>
      </c>
      <c r="D41" s="25">
        <f>'Key Assumptions'!D19</f>
        <v>4</v>
      </c>
      <c r="E41" t="s">
        <v>18</v>
      </c>
    </row>
    <row r="42" spans="2:8" ht="12.75">
      <c r="B42" t="s">
        <v>17</v>
      </c>
      <c r="D42" s="23">
        <f>'Key Assumptions'!D20</f>
        <v>2</v>
      </c>
      <c r="E42" t="s">
        <v>21</v>
      </c>
      <c r="H42" t="s">
        <v>22</v>
      </c>
    </row>
    <row r="44" ht="12.75">
      <c r="B44" t="s">
        <v>27</v>
      </c>
    </row>
    <row r="45" spans="2:5" ht="12.75">
      <c r="B45" t="s">
        <v>55</v>
      </c>
      <c r="D45" s="6">
        <v>0.5</v>
      </c>
      <c r="E45" t="s">
        <v>20</v>
      </c>
    </row>
    <row r="46" spans="2:5" ht="12.75">
      <c r="B46" t="s">
        <v>56</v>
      </c>
      <c r="D46" s="6">
        <v>0.25</v>
      </c>
      <c r="E46" t="s">
        <v>20</v>
      </c>
    </row>
    <row r="47" spans="2:5" ht="12.75">
      <c r="B47" t="s">
        <v>80</v>
      </c>
      <c r="D47" s="25">
        <f>'Key Assumptions'!D22</f>
        <v>21</v>
      </c>
      <c r="E47" t="s">
        <v>130</v>
      </c>
    </row>
    <row r="48" spans="2:5" ht="12.75">
      <c r="B48" t="s">
        <v>81</v>
      </c>
      <c r="D48" s="26">
        <f>'Key Assumptions'!D23/100</f>
        <v>0.4</v>
      </c>
      <c r="E48" s="16">
        <f>D47*D48</f>
        <v>8.4</v>
      </c>
    </row>
    <row r="49" spans="2:5" ht="12.75">
      <c r="B49" t="s">
        <v>16</v>
      </c>
      <c r="D49" s="27">
        <f>((0.5*E48)*(1-D45))+((0.5*D47)*(D45))</f>
        <v>7.35</v>
      </c>
      <c r="E49" t="s">
        <v>128</v>
      </c>
    </row>
    <row r="50" spans="2:5" ht="12.75">
      <c r="B50" t="s">
        <v>17</v>
      </c>
      <c r="D50" s="27">
        <f>((0.25*E48)*(1-D46))+((0.25*D47)*D46)</f>
        <v>2.8875</v>
      </c>
      <c r="E50" t="s">
        <v>129</v>
      </c>
    </row>
    <row r="51" spans="1:5" ht="12.75">
      <c r="A51" t="s">
        <v>89</v>
      </c>
      <c r="B51" t="s">
        <v>46</v>
      </c>
      <c r="D51" s="3">
        <v>3700000</v>
      </c>
      <c r="E51" t="s">
        <v>47</v>
      </c>
    </row>
    <row r="52" spans="2:5" ht="12.75">
      <c r="B52" t="s">
        <v>51</v>
      </c>
      <c r="D52" s="6">
        <v>0.1</v>
      </c>
      <c r="E52" t="s">
        <v>57</v>
      </c>
    </row>
    <row r="53" spans="1:5" ht="12.75">
      <c r="A53" t="s">
        <v>83</v>
      </c>
      <c r="B53" t="s">
        <v>46</v>
      </c>
      <c r="D53" s="7">
        <f>23.4*1.46</f>
        <v>34.163999999999994</v>
      </c>
      <c r="E53" t="s">
        <v>90</v>
      </c>
    </row>
    <row r="54" spans="2:5" ht="12.75">
      <c r="B54" t="s">
        <v>91</v>
      </c>
      <c r="D54" s="7">
        <v>2</v>
      </c>
      <c r="E54" t="s">
        <v>93</v>
      </c>
    </row>
    <row r="56" ht="12.75">
      <c r="B56" t="s">
        <v>36</v>
      </c>
    </row>
    <row r="57" spans="2:4" ht="12.75">
      <c r="B57" t="s">
        <v>37</v>
      </c>
      <c r="C57" t="s">
        <v>38</v>
      </c>
      <c r="D57" s="23">
        <f>'Key Assumptions'!D28</f>
        <v>757</v>
      </c>
    </row>
    <row r="58" spans="3:4" ht="12.75">
      <c r="C58" t="s">
        <v>39</v>
      </c>
      <c r="D58" s="23">
        <f>'Key Assumptions'!D29</f>
        <v>150</v>
      </c>
    </row>
    <row r="59" spans="3:4" ht="12.75">
      <c r="C59" t="s">
        <v>147</v>
      </c>
      <c r="D59" s="23">
        <v>44</v>
      </c>
    </row>
    <row r="60" spans="3:4" ht="12.75">
      <c r="C60" t="s">
        <v>26</v>
      </c>
      <c r="D60">
        <f>SUM(D57:D59)</f>
        <v>951</v>
      </c>
    </row>
    <row r="62" spans="2:4" ht="12.75">
      <c r="B62" t="s">
        <v>34</v>
      </c>
      <c r="D62" s="28">
        <f>IF('Key Assumptions'!D14=0,'Key Assumptions'!D34/100,'Key Assumptions'!D33/100)</f>
        <v>0.07400000000000001</v>
      </c>
    </row>
    <row r="63" spans="2:5" ht="12.75">
      <c r="B63" t="s">
        <v>79</v>
      </c>
      <c r="D63" s="10">
        <v>0.025</v>
      </c>
      <c r="E63" t="s">
        <v>42</v>
      </c>
    </row>
    <row r="64" spans="2:5" ht="12.75">
      <c r="B64" t="s">
        <v>40</v>
      </c>
      <c r="D64" s="24">
        <f>'Key Assumptions'!D31/100</f>
        <v>0.1</v>
      </c>
      <c r="E64" t="s">
        <v>41</v>
      </c>
    </row>
    <row r="66" spans="2:5" ht="12.75">
      <c r="B66" t="s">
        <v>62</v>
      </c>
      <c r="D66" s="3">
        <v>0</v>
      </c>
      <c r="E66" t="s">
        <v>63</v>
      </c>
    </row>
    <row r="67" ht="12.75">
      <c r="E67" s="1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L12" sqref="L12"/>
    </sheetView>
  </sheetViews>
  <sheetFormatPr defaultColWidth="9.140625" defaultRowHeight="12.75"/>
  <sheetData>
    <row r="1" spans="1:16" ht="12.75">
      <c r="A1" t="s">
        <v>0</v>
      </c>
      <c r="H1" t="s">
        <v>24</v>
      </c>
      <c r="L1" t="s">
        <v>27</v>
      </c>
      <c r="P1" t="s">
        <v>119</v>
      </c>
    </row>
    <row r="2" spans="3:18" ht="12.75">
      <c r="C2" t="str">
        <f>'Data and assumptions'!I7</f>
        <v>Departing</v>
      </c>
      <c r="E2" t="s">
        <v>23</v>
      </c>
      <c r="F2" t="s">
        <v>17</v>
      </c>
      <c r="H2" t="s">
        <v>23</v>
      </c>
      <c r="I2" t="s">
        <v>17</v>
      </c>
      <c r="J2" t="s">
        <v>26</v>
      </c>
      <c r="L2" t="s">
        <v>23</v>
      </c>
      <c r="M2" t="s">
        <v>17</v>
      </c>
      <c r="N2" t="s">
        <v>26</v>
      </c>
      <c r="P2" t="s">
        <v>48</v>
      </c>
      <c r="R2" t="s">
        <v>26</v>
      </c>
    </row>
    <row r="3" spans="2:18" ht="12.75">
      <c r="B3">
        <v>2006</v>
      </c>
      <c r="C3">
        <f>'Data and assumptions'!I8</f>
        <v>10205.5</v>
      </c>
      <c r="E3">
        <f>C3*'Data and assumptions'!$H$29</f>
        <v>3061.65</v>
      </c>
      <c r="F3">
        <f>C3*'Data and assumptions'!$H$30</f>
        <v>7143.849999999999</v>
      </c>
      <c r="H3" s="4">
        <f>E3*$C$20</f>
        <v>12246.6</v>
      </c>
      <c r="I3" s="4">
        <f>F3*$C$21</f>
        <v>14287.699999999999</v>
      </c>
      <c r="J3" s="4">
        <f>H3+I3</f>
        <v>26534.3</v>
      </c>
      <c r="L3" s="4">
        <f>E3*$C$24</f>
        <v>22503.1275</v>
      </c>
      <c r="M3" s="4">
        <f>F3*$C$25</f>
        <v>20627.866875</v>
      </c>
      <c r="N3" s="4">
        <f>SUM(L3:M3)</f>
        <v>43130.994374999995</v>
      </c>
      <c r="O3" s="4"/>
      <c r="P3" s="4">
        <f>IF('Key Assumptions'!$D$11=0,'Airline delay'!E3,'Airline delay'!M3)*1000</f>
        <v>10369.363149999997</v>
      </c>
      <c r="R3" s="4">
        <f>IF('Data and assumptions'!$G$2=0,J3+N3,IF('Data and assumptions'!$G$2=1,P3,J3+N3+P3))</f>
        <v>80034.65752499999</v>
      </c>
    </row>
    <row r="4" spans="2:18" ht="12.75">
      <c r="B4">
        <v>2007</v>
      </c>
      <c r="C4">
        <f>'Data and assumptions'!I9</f>
        <v>10828.5</v>
      </c>
      <c r="E4">
        <f>C4*'Data and assumptions'!$H$29</f>
        <v>3248.5499999999997</v>
      </c>
      <c r="F4">
        <f>C4*'Data and assumptions'!$H$30</f>
        <v>7579.95</v>
      </c>
      <c r="H4" s="4">
        <f aca="true" t="shared" si="0" ref="H4:H17">E4*$C$20</f>
        <v>12994.199999999999</v>
      </c>
      <c r="I4" s="4">
        <f aca="true" t="shared" si="1" ref="I4:I17">F4*$C$21</f>
        <v>15159.9</v>
      </c>
      <c r="J4" s="4">
        <f aca="true" t="shared" si="2" ref="J4:J17">H4+I4</f>
        <v>28154.1</v>
      </c>
      <c r="L4" s="4">
        <f aca="true" t="shared" si="3" ref="L4:L17">E4*$C$24</f>
        <v>23876.842499999995</v>
      </c>
      <c r="M4" s="4">
        <f aca="true" t="shared" si="4" ref="M4:M17">F4*$C$25</f>
        <v>21887.105625</v>
      </c>
      <c r="N4" s="4">
        <f aca="true" t="shared" si="5" ref="N4:N17">SUM(L4:M4)</f>
        <v>45763.948124999995</v>
      </c>
      <c r="O4" s="4"/>
      <c r="P4" s="4">
        <f>IF('Key Assumptions'!$D$11=0,'Airline delay'!E4,'Airline delay'!M4)*1000</f>
        <v>10772.33145</v>
      </c>
      <c r="R4" s="4">
        <f>IF('Data and assumptions'!$G$2=0,J4+N4,IF('Data and assumptions'!$G$2=1,P4,J4+N4+P4))</f>
        <v>84690.379575</v>
      </c>
    </row>
    <row r="5" spans="2:18" ht="12.75">
      <c r="B5">
        <v>2008</v>
      </c>
      <c r="C5">
        <f>'Data and assumptions'!I10</f>
        <v>11281.5</v>
      </c>
      <c r="E5">
        <f>C5*'Data and assumptions'!$H$29</f>
        <v>3384.45</v>
      </c>
      <c r="F5">
        <f>C5*'Data and assumptions'!$H$30</f>
        <v>7897.049999999999</v>
      </c>
      <c r="H5" s="4">
        <f t="shared" si="0"/>
        <v>13537.8</v>
      </c>
      <c r="I5" s="4">
        <f t="shared" si="1"/>
        <v>15794.099999999999</v>
      </c>
      <c r="J5" s="4">
        <f t="shared" si="2"/>
        <v>29331.899999999998</v>
      </c>
      <c r="L5" s="4">
        <f t="shared" si="3"/>
        <v>24875.707499999997</v>
      </c>
      <c r="M5" s="4">
        <f t="shared" si="4"/>
        <v>22802.731874999998</v>
      </c>
      <c r="N5" s="4">
        <f t="shared" si="5"/>
        <v>47678.439374999994</v>
      </c>
      <c r="O5" s="4"/>
      <c r="P5" s="4">
        <f>IF('Key Assumptions'!$D$11=0,'Airline delay'!E5,'Airline delay'!M5)*1000</f>
        <v>11080.579950000001</v>
      </c>
      <c r="R5" s="4">
        <f>IF('Data and assumptions'!$G$2=0,J5+N5,IF('Data and assumptions'!$G$2=1,P5,J5+N5+P5))</f>
        <v>88090.919325</v>
      </c>
    </row>
    <row r="6" spans="2:18" ht="12.75">
      <c r="B6">
        <v>2009</v>
      </c>
      <c r="C6">
        <f>'Data and assumptions'!I11</f>
        <v>11620.5</v>
      </c>
      <c r="E6">
        <f>C6*'Data and assumptions'!$H$29</f>
        <v>3486.15</v>
      </c>
      <c r="F6">
        <f>C6*'Data and assumptions'!$H$30</f>
        <v>8134.349999999999</v>
      </c>
      <c r="H6" s="4">
        <f t="shared" si="0"/>
        <v>13944.6</v>
      </c>
      <c r="I6" s="4">
        <f t="shared" si="1"/>
        <v>16268.699999999999</v>
      </c>
      <c r="J6" s="4">
        <f t="shared" si="2"/>
        <v>30213.3</v>
      </c>
      <c r="L6" s="4">
        <f t="shared" si="3"/>
        <v>25623.2025</v>
      </c>
      <c r="M6" s="4">
        <f t="shared" si="4"/>
        <v>23487.935625</v>
      </c>
      <c r="N6" s="4">
        <f t="shared" si="5"/>
        <v>49111.138125</v>
      </c>
      <c r="O6" s="4"/>
      <c r="P6" s="4">
        <f>IF('Key Assumptions'!$D$11=0,'Airline delay'!E6,'Airline delay'!M6)*1000</f>
        <v>11327.681849999999</v>
      </c>
      <c r="R6" s="4">
        <f>IF('Data and assumptions'!$G$2=0,J6+N6,IF('Data and assumptions'!$G$2=1,P6,J6+N6+P6))</f>
        <v>90652.119975</v>
      </c>
    </row>
    <row r="7" spans="2:18" ht="12.75">
      <c r="B7">
        <v>2010</v>
      </c>
      <c r="C7">
        <f>'Data and assumptions'!I12</f>
        <v>12097.5</v>
      </c>
      <c r="E7">
        <f>C7*'Data and assumptions'!$H$29</f>
        <v>3629.25</v>
      </c>
      <c r="F7">
        <f>C7*'Data and assumptions'!$H$30</f>
        <v>8468.25</v>
      </c>
      <c r="H7" s="4">
        <f t="shared" si="0"/>
        <v>14517</v>
      </c>
      <c r="I7" s="4">
        <f t="shared" si="1"/>
        <v>16936.5</v>
      </c>
      <c r="J7" s="4">
        <f t="shared" si="2"/>
        <v>31453.5</v>
      </c>
      <c r="L7" s="4">
        <f t="shared" si="3"/>
        <v>26674.9875</v>
      </c>
      <c r="M7" s="4">
        <f t="shared" si="4"/>
        <v>24452.071875</v>
      </c>
      <c r="N7" s="4">
        <f t="shared" si="5"/>
        <v>51127.059375</v>
      </c>
      <c r="O7" s="4"/>
      <c r="P7" s="4">
        <f>IF('Key Assumptions'!$D$11=0,'Airline delay'!E7,'Airline delay'!M7)*1000</f>
        <v>11645.92635</v>
      </c>
      <c r="R7" s="4">
        <f>IF('Data and assumptions'!$G$2=0,J7+N7,IF('Data and assumptions'!$G$2=1,P7,J7+N7+P7))</f>
        <v>94226.48572499999</v>
      </c>
    </row>
    <row r="8" spans="2:18" ht="12.75">
      <c r="B8">
        <v>2011</v>
      </c>
      <c r="C8">
        <f>'Data and assumptions'!I13</f>
        <v>12463</v>
      </c>
      <c r="E8">
        <f>C8*'Data and assumptions'!$H$29</f>
        <v>3738.8999999999996</v>
      </c>
      <c r="F8">
        <f>C8*'Data and assumptions'!$H$30</f>
        <v>8724.099999999999</v>
      </c>
      <c r="H8" s="4">
        <f t="shared" si="0"/>
        <v>14955.599999999999</v>
      </c>
      <c r="I8" s="4">
        <f t="shared" si="1"/>
        <v>17448.199999999997</v>
      </c>
      <c r="J8" s="4">
        <f t="shared" si="2"/>
        <v>32403.799999999996</v>
      </c>
      <c r="L8" s="4">
        <f t="shared" si="3"/>
        <v>27480.914999999997</v>
      </c>
      <c r="M8" s="4">
        <f t="shared" si="4"/>
        <v>25190.83875</v>
      </c>
      <c r="N8" s="4">
        <f t="shared" si="5"/>
        <v>52671.753749999996</v>
      </c>
      <c r="O8" s="4"/>
      <c r="P8" s="4">
        <f>IF('Key Assumptions'!$D$11=0,'Airline delay'!E8,'Airline delay'!M8)*1000</f>
        <v>12109.0495</v>
      </c>
      <c r="R8" s="4">
        <f>IF('Data and assumptions'!$G$2=0,J8+N8,IF('Data and assumptions'!$G$2=1,P8,J8+N8+P8))</f>
        <v>97184.60324999999</v>
      </c>
    </row>
    <row r="9" spans="2:18" ht="12.75">
      <c r="B9">
        <v>2012</v>
      </c>
      <c r="C9">
        <f>'Data and assumptions'!I14</f>
        <v>12913.5</v>
      </c>
      <c r="E9">
        <f>C9*'Data and assumptions'!$H$29</f>
        <v>3874.0499999999997</v>
      </c>
      <c r="F9">
        <f>C9*'Data and assumptions'!$H$30</f>
        <v>9039.449999999999</v>
      </c>
      <c r="H9" s="4">
        <f t="shared" si="0"/>
        <v>15496.199999999999</v>
      </c>
      <c r="I9" s="4">
        <f t="shared" si="1"/>
        <v>18078.899999999998</v>
      </c>
      <c r="J9" s="4">
        <f t="shared" si="2"/>
        <v>33575.1</v>
      </c>
      <c r="L9" s="4">
        <f t="shared" si="3"/>
        <v>28474.267499999998</v>
      </c>
      <c r="M9" s="4">
        <f t="shared" si="4"/>
        <v>26101.411874999998</v>
      </c>
      <c r="N9" s="4">
        <f t="shared" si="5"/>
        <v>54575.67937499999</v>
      </c>
      <c r="O9" s="4"/>
      <c r="P9" s="4">
        <f>IF('Key Assumptions'!$D$11=0,'Airline delay'!E9,'Airline delay'!M9)*1000</f>
        <v>12491.41755</v>
      </c>
      <c r="R9" s="4">
        <f>IF('Data and assumptions'!$G$2=0,J9+N9,IF('Data and assumptions'!$G$2=1,P9,J9+N9+P9))</f>
        <v>100642.19692499998</v>
      </c>
    </row>
    <row r="10" spans="2:18" ht="12.75">
      <c r="B10">
        <v>2013</v>
      </c>
      <c r="C10">
        <f>'Data and assumptions'!I15</f>
        <v>13333.5</v>
      </c>
      <c r="E10">
        <f>C10*'Data and assumptions'!$H$29</f>
        <v>4000.0499999999997</v>
      </c>
      <c r="F10">
        <f>C10*'Data and assumptions'!$H$30</f>
        <v>9333.449999999999</v>
      </c>
      <c r="H10" s="4">
        <f t="shared" si="0"/>
        <v>16000.199999999999</v>
      </c>
      <c r="I10" s="4">
        <f t="shared" si="1"/>
        <v>18666.899999999998</v>
      </c>
      <c r="J10" s="4">
        <f t="shared" si="2"/>
        <v>34667.1</v>
      </c>
      <c r="L10" s="4">
        <f t="shared" si="3"/>
        <v>29400.367499999997</v>
      </c>
      <c r="M10" s="4">
        <f t="shared" si="4"/>
        <v>26950.336874999997</v>
      </c>
      <c r="N10" s="4">
        <f t="shared" si="5"/>
        <v>56350.704374999994</v>
      </c>
      <c r="O10" s="4"/>
      <c r="P10" s="4">
        <f>IF('Key Assumptions'!$D$11=0,'Airline delay'!E10,'Airline delay'!M10)*1000</f>
        <v>12847.416749999999</v>
      </c>
      <c r="R10" s="4">
        <f>IF('Data and assumptions'!$G$2=0,J10+N10,IF('Data and assumptions'!$G$2=1,P10,J10+N10+P10))</f>
        <v>103865.221125</v>
      </c>
    </row>
    <row r="11" spans="2:18" ht="12.75">
      <c r="B11">
        <v>2014</v>
      </c>
      <c r="C11">
        <f>'Data and assumptions'!I16</f>
        <v>13684</v>
      </c>
      <c r="E11">
        <f>C11*'Data and assumptions'!$H$29</f>
        <v>4105.2</v>
      </c>
      <c r="F11">
        <f>C11*'Data and assumptions'!$H$30</f>
        <v>9578.8</v>
      </c>
      <c r="H11" s="4">
        <f t="shared" si="0"/>
        <v>16420.8</v>
      </c>
      <c r="I11" s="4">
        <f t="shared" si="1"/>
        <v>19157.6</v>
      </c>
      <c r="J11" s="4">
        <f t="shared" si="2"/>
        <v>35578.399999999994</v>
      </c>
      <c r="L11" s="4">
        <f t="shared" si="3"/>
        <v>30173.219999999998</v>
      </c>
      <c r="M11" s="4">
        <f t="shared" si="4"/>
        <v>27658.785</v>
      </c>
      <c r="N11" s="4">
        <f t="shared" si="5"/>
        <v>57832.005</v>
      </c>
      <c r="O11" s="4"/>
      <c r="P11" s="4">
        <f>IF('Key Assumptions'!$D$11=0,'Airline delay'!E11,'Airline delay'!M11)*1000</f>
        <v>13174.469199999998</v>
      </c>
      <c r="R11" s="4">
        <f>IF('Data and assumptions'!$G$2=0,J11+N11,IF('Data and assumptions'!$G$2=1,P11,J11+N11+P11))</f>
        <v>106584.87419999999</v>
      </c>
    </row>
    <row r="12" spans="2:18" ht="12.75">
      <c r="B12">
        <v>2015</v>
      </c>
      <c r="C12">
        <f>'Data and assumptions'!I17</f>
        <v>13755</v>
      </c>
      <c r="E12">
        <f>C12*'Data and assumptions'!$H$29</f>
        <v>4126.5</v>
      </c>
      <c r="F12">
        <f>C12*'Data and assumptions'!$H$30</f>
        <v>9628.5</v>
      </c>
      <c r="H12" s="4">
        <f t="shared" si="0"/>
        <v>16506</v>
      </c>
      <c r="I12" s="4">
        <f t="shared" si="1"/>
        <v>19257</v>
      </c>
      <c r="J12" s="4">
        <f t="shared" si="2"/>
        <v>35763</v>
      </c>
      <c r="L12" s="4">
        <f t="shared" si="3"/>
        <v>30329.774999999998</v>
      </c>
      <c r="M12" s="4">
        <f t="shared" si="4"/>
        <v>27802.29375</v>
      </c>
      <c r="N12" s="4">
        <f t="shared" si="5"/>
        <v>58132.06875</v>
      </c>
      <c r="O12" s="4"/>
      <c r="P12" s="4">
        <f>IF('Key Assumptions'!$D$11=0,'Airline delay'!E12,'Airline delay'!M12)*1000</f>
        <v>13374.8607</v>
      </c>
      <c r="R12" s="4">
        <f>IF('Data and assumptions'!$G$2=0,J12+N12,IF('Data and assumptions'!$G$2=1,P12,J12+N12+P12))</f>
        <v>107269.92945000001</v>
      </c>
    </row>
    <row r="13" spans="2:18" ht="12.75">
      <c r="B13">
        <v>2016</v>
      </c>
      <c r="C13">
        <f>'Data and assumptions'!I18</f>
        <v>13943.5</v>
      </c>
      <c r="E13">
        <f>C13*'Data and assumptions'!$H$29</f>
        <v>4183.05</v>
      </c>
      <c r="F13">
        <f>C13*'Data and assumptions'!$H$30</f>
        <v>9760.449999999999</v>
      </c>
      <c r="H13" s="4">
        <f t="shared" si="0"/>
        <v>16732.2</v>
      </c>
      <c r="I13" s="4">
        <f t="shared" si="1"/>
        <v>19520.899999999998</v>
      </c>
      <c r="J13" s="4">
        <f t="shared" si="2"/>
        <v>36253.1</v>
      </c>
      <c r="L13" s="4">
        <f t="shared" si="3"/>
        <v>30745.4175</v>
      </c>
      <c r="M13" s="4">
        <f t="shared" si="4"/>
        <v>28183.299375</v>
      </c>
      <c r="N13" s="4">
        <f t="shared" si="5"/>
        <v>58928.716875</v>
      </c>
      <c r="O13" s="4"/>
      <c r="P13" s="4">
        <f>IF('Key Assumptions'!$D$11=0,'Airline delay'!E13,'Airline delay'!M13)*1000</f>
        <v>13624.190949999998</v>
      </c>
      <c r="R13" s="4">
        <f>IF('Data and assumptions'!$G$2=0,J13+N13,IF('Data and assumptions'!$G$2=1,P13,J13+N13+P13))</f>
        <v>108806.007825</v>
      </c>
    </row>
    <row r="14" spans="2:18" ht="12.75">
      <c r="B14">
        <v>2017</v>
      </c>
      <c r="C14">
        <f>'Data and assumptions'!I19</f>
        <v>14080</v>
      </c>
      <c r="E14">
        <f>C14*'Data and assumptions'!$H$29</f>
        <v>4224</v>
      </c>
      <c r="F14">
        <f>C14*'Data and assumptions'!$H$30</f>
        <v>9856</v>
      </c>
      <c r="H14" s="4">
        <f t="shared" si="0"/>
        <v>16896</v>
      </c>
      <c r="I14" s="4">
        <f t="shared" si="1"/>
        <v>19712</v>
      </c>
      <c r="J14" s="4">
        <f t="shared" si="2"/>
        <v>36608</v>
      </c>
      <c r="L14" s="4">
        <f t="shared" si="3"/>
        <v>31046.399999999998</v>
      </c>
      <c r="M14" s="4">
        <f t="shared" si="4"/>
        <v>28459.2</v>
      </c>
      <c r="N14" s="4">
        <f t="shared" si="5"/>
        <v>59505.6</v>
      </c>
      <c r="O14" s="4"/>
      <c r="P14" s="4">
        <f>IF('Key Assumptions'!$D$11=0,'Airline delay'!E14,'Airline delay'!M14)*1000</f>
        <v>13851.863199999998</v>
      </c>
      <c r="R14" s="4">
        <f>IF('Data and assumptions'!$G$2=0,J14+N14,IF('Data and assumptions'!$G$2=1,P14,J14+N14+P14))</f>
        <v>109965.4632</v>
      </c>
    </row>
    <row r="15" spans="2:18" ht="12.75">
      <c r="B15">
        <v>2018</v>
      </c>
      <c r="C15">
        <f>'Data and assumptions'!I20</f>
        <v>14201</v>
      </c>
      <c r="E15">
        <f>C15*'Data and assumptions'!$H$29</f>
        <v>4260.3</v>
      </c>
      <c r="F15">
        <f>C15*'Data and assumptions'!$H$30</f>
        <v>9940.699999999999</v>
      </c>
      <c r="H15" s="4">
        <f t="shared" si="0"/>
        <v>17041.2</v>
      </c>
      <c r="I15" s="4">
        <f t="shared" si="1"/>
        <v>19881.399999999998</v>
      </c>
      <c r="J15" s="4">
        <f t="shared" si="2"/>
        <v>36922.6</v>
      </c>
      <c r="L15" s="4">
        <f t="shared" si="3"/>
        <v>31313.204999999998</v>
      </c>
      <c r="M15" s="4">
        <f t="shared" si="4"/>
        <v>28703.771249999998</v>
      </c>
      <c r="N15" s="4">
        <f t="shared" si="5"/>
        <v>60016.97624999999</v>
      </c>
      <c r="O15" s="4"/>
      <c r="P15" s="4">
        <f>IF('Key Assumptions'!$D$11=0,'Airline delay'!E15,'Airline delay'!M15)*1000</f>
        <v>14073.079699999997</v>
      </c>
      <c r="R15" s="4">
        <f>IF('Data and assumptions'!$G$2=0,J15+N15,IF('Data and assumptions'!$G$2=1,P15,J15+N15+P15))</f>
        <v>111012.65594999999</v>
      </c>
    </row>
    <row r="16" spans="2:18" ht="12.75">
      <c r="B16">
        <v>2019</v>
      </c>
      <c r="C16">
        <f>'Data and assumptions'!I21</f>
        <v>14307</v>
      </c>
      <c r="E16">
        <f>C16*'Data and assumptions'!$H$29</f>
        <v>4292.099999999999</v>
      </c>
      <c r="F16">
        <f>C16*'Data and assumptions'!$H$30</f>
        <v>10014.9</v>
      </c>
      <c r="H16" s="4">
        <f t="shared" si="0"/>
        <v>17168.399999999998</v>
      </c>
      <c r="I16" s="4">
        <f t="shared" si="1"/>
        <v>20029.8</v>
      </c>
      <c r="J16" s="4">
        <f t="shared" si="2"/>
        <v>37198.2</v>
      </c>
      <c r="L16" s="4">
        <f t="shared" si="3"/>
        <v>31546.934999999994</v>
      </c>
      <c r="M16" s="4">
        <f t="shared" si="4"/>
        <v>28918.02375</v>
      </c>
      <c r="N16" s="4">
        <f t="shared" si="5"/>
        <v>60464.95874999999</v>
      </c>
      <c r="O16" s="4"/>
      <c r="P16" s="4">
        <f>IF('Key Assumptions'!$D$11=0,'Airline delay'!E16,'Airline delay'!M16)*1000</f>
        <v>14288.048699999998</v>
      </c>
      <c r="R16" s="4">
        <f>IF('Data and assumptions'!$G$2=0,J16+N16,IF('Data and assumptions'!$G$2=1,P16,J16+N16+P16))</f>
        <v>111951.20744999999</v>
      </c>
    </row>
    <row r="17" spans="2:18" ht="12.75">
      <c r="B17">
        <v>2020</v>
      </c>
      <c r="C17">
        <f>'Data and assumptions'!I22</f>
        <v>14401</v>
      </c>
      <c r="E17">
        <f>C17*'Data and assumptions'!$H$29</f>
        <v>4320.3</v>
      </c>
      <c r="F17">
        <f>C17*'Data and assumptions'!$H$30</f>
        <v>10080.699999999999</v>
      </c>
      <c r="H17" s="4">
        <f t="shared" si="0"/>
        <v>17281.2</v>
      </c>
      <c r="I17" s="4">
        <f t="shared" si="1"/>
        <v>20161.399999999998</v>
      </c>
      <c r="J17" s="4">
        <f t="shared" si="2"/>
        <v>37442.6</v>
      </c>
      <c r="L17" s="4">
        <f t="shared" si="3"/>
        <v>31754.204999999998</v>
      </c>
      <c r="M17" s="4">
        <f t="shared" si="4"/>
        <v>29108.021249999998</v>
      </c>
      <c r="N17" s="4">
        <f t="shared" si="5"/>
        <v>60862.22624999999</v>
      </c>
      <c r="O17" s="4"/>
      <c r="P17" s="4">
        <f>IF('Key Assumptions'!$D$11=0,'Airline delay'!E17,'Airline delay'!M17)*1000</f>
        <v>14498.0197</v>
      </c>
      <c r="R17" s="4">
        <f>IF('Data and assumptions'!$G$2=0,J17+N17,IF('Data and assumptions'!$G$2=1,P17,J17+N17+P17))</f>
        <v>112802.84594999999</v>
      </c>
    </row>
    <row r="19" ht="12.75">
      <c r="B19" t="s">
        <v>25</v>
      </c>
    </row>
    <row r="20" spans="2:3" ht="12.75">
      <c r="B20" t="s">
        <v>23</v>
      </c>
      <c r="C20" s="4">
        <f>'Data and assumptions'!D41</f>
        <v>4</v>
      </c>
    </row>
    <row r="21" spans="2:3" ht="12.75">
      <c r="B21" t="s">
        <v>17</v>
      </c>
      <c r="C21">
        <f>'Data and assumptions'!D42</f>
        <v>2</v>
      </c>
    </row>
    <row r="23" ht="12.75">
      <c r="B23" t="s">
        <v>28</v>
      </c>
    </row>
    <row r="24" spans="2:3" ht="12.75">
      <c r="B24" t="s">
        <v>23</v>
      </c>
      <c r="C24" s="8">
        <f>'Data and assumptions'!D49</f>
        <v>7.35</v>
      </c>
    </row>
    <row r="25" spans="2:3" ht="12.75">
      <c r="B25" t="s">
        <v>17</v>
      </c>
      <c r="C25" s="8">
        <f>'Data and assumptions'!D50</f>
        <v>2.8875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3" sqref="M3"/>
    </sheetView>
  </sheetViews>
  <sheetFormatPr defaultColWidth="9.140625" defaultRowHeight="12.75"/>
  <cols>
    <col min="12" max="12" width="10.57421875" style="0" bestFit="1" customWidth="1"/>
  </cols>
  <sheetData>
    <row r="1" spans="1:13" ht="12.75">
      <c r="A1" t="s">
        <v>0</v>
      </c>
      <c r="E1" t="s">
        <v>82</v>
      </c>
      <c r="G1" t="s">
        <v>83</v>
      </c>
      <c r="M1" t="s">
        <v>92</v>
      </c>
    </row>
    <row r="2" spans="3:13" ht="12.75">
      <c r="C2" t="str">
        <f>'Data and assumptions'!I7</f>
        <v>Departing</v>
      </c>
      <c r="E2" t="s">
        <v>120</v>
      </c>
      <c r="G2" t="s">
        <v>86</v>
      </c>
      <c r="H2" t="s">
        <v>84</v>
      </c>
      <c r="I2" t="s">
        <v>85</v>
      </c>
      <c r="K2" t="s">
        <v>87</v>
      </c>
      <c r="L2" t="s">
        <v>88</v>
      </c>
      <c r="M2" t="s">
        <v>26</v>
      </c>
    </row>
    <row r="3" spans="2:13" ht="12.75">
      <c r="B3">
        <v>2006</v>
      </c>
      <c r="C3">
        <f>'Data and assumptions'!I8</f>
        <v>10205.5</v>
      </c>
      <c r="E3" s="4">
        <f>'Data and assumptions'!O8*'Data and assumptions'!$D$52*100*'Data and assumptions'!$D$51/1000000</f>
        <v>0</v>
      </c>
      <c r="G3" s="8">
        <f>'Data and assumptions'!D54</f>
        <v>2</v>
      </c>
      <c r="H3" s="4">
        <f>'Data and assumptions'!K8*0.5*'Airline delay'!G3</f>
        <v>179100</v>
      </c>
      <c r="I3">
        <f>C3*G3*1000</f>
        <v>20411000</v>
      </c>
      <c r="K3" s="17">
        <f>'Data and assumptions'!$D$53*'Airline delay'!H3/1000000</f>
        <v>6.118772399999999</v>
      </c>
      <c r="L3" s="17">
        <f>I3*(('Data and assumptions'!$H$29*'Data and assumptions'!$D$49/30)+('Data and assumptions'!$H$30*'Data and assumptions'!$D$50/15))/1000000</f>
        <v>4.25059075</v>
      </c>
      <c r="M3" s="17">
        <f>K3+L3</f>
        <v>10.369363149999998</v>
      </c>
    </row>
    <row r="4" spans="2:13" ht="12.75">
      <c r="B4">
        <v>2007</v>
      </c>
      <c r="C4">
        <f>'Data and assumptions'!I9</f>
        <v>10828.5</v>
      </c>
      <c r="E4" s="4">
        <f>'Data and assumptions'!O9*'Data and assumptions'!$D$52*100*'Data and assumptions'!$D$51/1000000</f>
        <v>0.8676716917922932</v>
      </c>
      <c r="G4" s="8">
        <f>G3</f>
        <v>2</v>
      </c>
      <c r="H4" s="4">
        <f>'Data and assumptions'!K9*0.5*'Airline delay'!G4</f>
        <v>183300</v>
      </c>
      <c r="I4">
        <f aca="true" t="shared" si="0" ref="I4:I17">C4*G4*1000</f>
        <v>21657000</v>
      </c>
      <c r="K4" s="17">
        <f>'Data and assumptions'!$D$53*'Airline delay'!H4/1000000</f>
        <v>6.262261199999999</v>
      </c>
      <c r="L4" s="17">
        <f>I4*(('Data and assumptions'!$H$29*'Data and assumptions'!$D$49/30)+('Data and assumptions'!$H$30*'Data and assumptions'!$D$50/15))/1000000</f>
        <v>4.51007025</v>
      </c>
      <c r="M4" s="17">
        <f aca="true" t="shared" si="1" ref="M4:M17">K4+L4</f>
        <v>10.77233145</v>
      </c>
    </row>
    <row r="5" spans="2:13" ht="12.75">
      <c r="B5">
        <v>2008</v>
      </c>
      <c r="C5">
        <f>'Data and assumptions'!I10</f>
        <v>11281.5</v>
      </c>
      <c r="E5" s="4">
        <f>'Data and assumptions'!O10*'Data and assumptions'!$D$52*100*'Data and assumptions'!$D$51/1000000</f>
        <v>1.5907314349525414</v>
      </c>
      <c r="G5" s="8">
        <f aca="true" t="shared" si="2" ref="G5:G17">G4</f>
        <v>2</v>
      </c>
      <c r="H5" s="4">
        <f>'Data and assumptions'!K10*0.5*'Airline delay'!G5</f>
        <v>186800</v>
      </c>
      <c r="I5">
        <f t="shared" si="0"/>
        <v>22563000</v>
      </c>
      <c r="K5" s="17">
        <f>'Data and assumptions'!$D$53*'Airline delay'!H5/1000000</f>
        <v>6.381835199999999</v>
      </c>
      <c r="L5" s="17">
        <f>I5*(('Data and assumptions'!$H$29*'Data and assumptions'!$D$49/30)+('Data and assumptions'!$H$30*'Data and assumptions'!$D$50/15))/1000000</f>
        <v>4.69874475</v>
      </c>
      <c r="M5" s="17">
        <f t="shared" si="1"/>
        <v>11.08057995</v>
      </c>
    </row>
    <row r="6" spans="2:13" ht="12.75">
      <c r="B6">
        <v>2009</v>
      </c>
      <c r="C6">
        <f>'Data and assumptions'!I11</f>
        <v>11620.5</v>
      </c>
      <c r="E6" s="4">
        <f>'Data and assumptions'!O11*'Data and assumptions'!$D$52*100*'Data and assumptions'!$D$51/1000000</f>
        <v>1.6113902847571204</v>
      </c>
      <c r="G6" s="8">
        <f t="shared" si="2"/>
        <v>2</v>
      </c>
      <c r="H6" s="4">
        <f>'Data and assumptions'!K11*0.5*'Airline delay'!G6</f>
        <v>189900</v>
      </c>
      <c r="I6">
        <f t="shared" si="0"/>
        <v>23241000</v>
      </c>
      <c r="K6" s="17">
        <f>'Data and assumptions'!$D$53*'Airline delay'!H6/1000000</f>
        <v>6.487743599999999</v>
      </c>
      <c r="L6" s="17">
        <f>I6*(('Data and assumptions'!$H$29*'Data and assumptions'!$D$49/30)+('Data and assumptions'!$H$30*'Data and assumptions'!$D$50/15))/1000000</f>
        <v>4.83993825</v>
      </c>
      <c r="M6" s="17">
        <f t="shared" si="1"/>
        <v>11.32768185</v>
      </c>
    </row>
    <row r="7" spans="2:13" ht="12.75">
      <c r="B7">
        <v>2010</v>
      </c>
      <c r="C7">
        <f>'Data and assumptions'!I12</f>
        <v>12097.5</v>
      </c>
      <c r="E7" s="4">
        <f>'Data and assumptions'!O12*'Data and assumptions'!$D$52*100*'Data and assumptions'!$D$51/1000000</f>
        <v>1.9212730318257971</v>
      </c>
      <c r="G7" s="8">
        <f t="shared" si="2"/>
        <v>2</v>
      </c>
      <c r="H7" s="4">
        <f>'Data and assumptions'!K12*0.5*'Airline delay'!G7</f>
        <v>193400</v>
      </c>
      <c r="I7">
        <f t="shared" si="0"/>
        <v>24195000</v>
      </c>
      <c r="K7" s="17">
        <f>'Data and assumptions'!$D$53*'Airline delay'!H7/1000000</f>
        <v>6.607317599999999</v>
      </c>
      <c r="L7" s="17">
        <f>I7*(('Data and assumptions'!$H$29*'Data and assumptions'!$D$49/30)+('Data and assumptions'!$H$30*'Data and assumptions'!$D$50/15))/1000000</f>
        <v>5.03860875</v>
      </c>
      <c r="M7" s="17">
        <f t="shared" si="1"/>
        <v>11.64592635</v>
      </c>
    </row>
    <row r="8" spans="2:13" ht="12.75">
      <c r="B8">
        <v>2011</v>
      </c>
      <c r="C8">
        <f>'Data and assumptions'!I13</f>
        <v>12463</v>
      </c>
      <c r="E8" s="4">
        <f>'Data and assumptions'!O13*'Data and assumptions'!$D$52*100*'Data and assumptions'!$D$51/1000000</f>
        <v>3.5946398659966468</v>
      </c>
      <c r="G8" s="8">
        <f t="shared" si="2"/>
        <v>2</v>
      </c>
      <c r="H8" s="4">
        <f>'Data and assumptions'!K13*0.5*'Airline delay'!G8</f>
        <v>202500</v>
      </c>
      <c r="I8">
        <f t="shared" si="0"/>
        <v>24926000</v>
      </c>
      <c r="K8" s="17">
        <f>'Data and assumptions'!$D$53*'Airline delay'!H8/1000000</f>
        <v>6.918209999999999</v>
      </c>
      <c r="L8" s="17">
        <f>I8*(('Data and assumptions'!$H$29*'Data and assumptions'!$D$49/30)+('Data and assumptions'!$H$30*'Data and assumptions'!$D$50/15))/1000000</f>
        <v>5.1908395</v>
      </c>
      <c r="M8" s="17">
        <f t="shared" si="1"/>
        <v>12.1090495</v>
      </c>
    </row>
    <row r="9" spans="2:13" ht="12.75">
      <c r="B9">
        <v>2012</v>
      </c>
      <c r="C9">
        <f>'Data and assumptions'!I14</f>
        <v>12913.5</v>
      </c>
      <c r="E9" s="4">
        <f>'Data and assumptions'!O14*'Data and assumptions'!$D$52*100*'Data and assumptions'!$D$51/1000000</f>
        <v>4.772194304857624</v>
      </c>
      <c r="G9" s="8">
        <f t="shared" si="2"/>
        <v>2</v>
      </c>
      <c r="H9" s="4">
        <f>'Data and assumptions'!K14*0.5*'Airline delay'!G9</f>
        <v>208200</v>
      </c>
      <c r="I9">
        <f t="shared" si="0"/>
        <v>25827000</v>
      </c>
      <c r="K9" s="17">
        <f>'Data and assumptions'!$D$53*'Airline delay'!H9/1000000</f>
        <v>7.112944799999999</v>
      </c>
      <c r="L9" s="17">
        <f>I9*(('Data and assumptions'!$H$29*'Data and assumptions'!$D$49/30)+('Data and assumptions'!$H$30*'Data and assumptions'!$D$50/15))/1000000</f>
        <v>5.37847275</v>
      </c>
      <c r="M9" s="17">
        <f t="shared" si="1"/>
        <v>12.49141755</v>
      </c>
    </row>
    <row r="10" spans="2:13" ht="12.75">
      <c r="B10">
        <v>2013</v>
      </c>
      <c r="C10">
        <f>'Data and assumptions'!I15</f>
        <v>13333.5</v>
      </c>
      <c r="E10" s="4">
        <f>'Data and assumptions'!O15*'Data and assumptions'!$D$52*100*'Data and assumptions'!$D$51/1000000</f>
        <v>5.453936348408707</v>
      </c>
      <c r="G10" s="8">
        <f t="shared" si="2"/>
        <v>2</v>
      </c>
      <c r="H10" s="4">
        <f>'Data and assumptions'!K15*0.5*'Airline delay'!G10</f>
        <v>213500</v>
      </c>
      <c r="I10">
        <f t="shared" si="0"/>
        <v>26667000</v>
      </c>
      <c r="K10" s="17">
        <f>'Data and assumptions'!$D$53*'Airline delay'!H10/1000000</f>
        <v>7.294013999999999</v>
      </c>
      <c r="L10" s="17">
        <f>I10*(('Data and assumptions'!$H$29*'Data and assumptions'!$D$49/30)+('Data and assumptions'!$H$30*'Data and assumptions'!$D$50/15))/1000000</f>
        <v>5.55340275</v>
      </c>
      <c r="M10" s="17">
        <f t="shared" si="1"/>
        <v>12.847416749999999</v>
      </c>
    </row>
    <row r="11" spans="2:13" ht="12.75">
      <c r="B11">
        <v>2014</v>
      </c>
      <c r="C11">
        <f>'Data and assumptions'!I16</f>
        <v>13684</v>
      </c>
      <c r="E11" s="4">
        <f>'Data and assumptions'!O16*'Data and assumptions'!$D$52*100*'Data and assumptions'!$D$51/1000000</f>
        <v>6.342266890005587</v>
      </c>
      <c r="G11" s="8">
        <f t="shared" si="2"/>
        <v>2</v>
      </c>
      <c r="H11" s="4">
        <f>'Data and assumptions'!K16*0.5*'Airline delay'!G11</f>
        <v>218800</v>
      </c>
      <c r="I11">
        <f t="shared" si="0"/>
        <v>27368000</v>
      </c>
      <c r="K11" s="17">
        <f>'Data and assumptions'!$D$53*'Airline delay'!H11/1000000</f>
        <v>7.4750831999999985</v>
      </c>
      <c r="L11" s="17">
        <f>I11*(('Data and assumptions'!$H$29*'Data and assumptions'!$D$49/30)+('Data and assumptions'!$H$30*'Data and assumptions'!$D$50/15))/1000000</f>
        <v>5.699386</v>
      </c>
      <c r="M11" s="17">
        <f t="shared" si="1"/>
        <v>13.174469199999997</v>
      </c>
    </row>
    <row r="12" spans="2:13" ht="12.75">
      <c r="B12">
        <v>2015</v>
      </c>
      <c r="C12">
        <f>'Data and assumptions'!I17</f>
        <v>13755</v>
      </c>
      <c r="E12" s="4">
        <f>'Data and assumptions'!O17*'Data and assumptions'!$D$52*100*'Data and assumptions'!$D$51/1000000</f>
        <v>6.342266890005587</v>
      </c>
      <c r="G12" s="8">
        <f t="shared" si="2"/>
        <v>2</v>
      </c>
      <c r="H12" s="4">
        <f>'Data and assumptions'!K17*0.5*'Airline delay'!G12</f>
        <v>223800</v>
      </c>
      <c r="I12">
        <f t="shared" si="0"/>
        <v>27510000</v>
      </c>
      <c r="K12" s="17">
        <f>'Data and assumptions'!$D$53*'Airline delay'!H12/1000000</f>
        <v>7.6459031999999985</v>
      </c>
      <c r="L12" s="17">
        <f>I12*(('Data and assumptions'!$H$29*'Data and assumptions'!$D$49/30)+('Data and assumptions'!$H$30*'Data and assumptions'!$D$50/15))/1000000</f>
        <v>5.7289575</v>
      </c>
      <c r="M12" s="17">
        <f t="shared" si="1"/>
        <v>13.3748607</v>
      </c>
    </row>
    <row r="13" spans="2:13" ht="12.75">
      <c r="B13">
        <v>2016</v>
      </c>
      <c r="C13">
        <f>'Data and assumptions'!I18</f>
        <v>13943.5</v>
      </c>
      <c r="E13" s="4">
        <f>'Data and assumptions'!O18*'Data and assumptions'!$D$52*100*'Data and assumptions'!$D$51/1000000</f>
        <v>6.342266890005587</v>
      </c>
      <c r="G13" s="8">
        <f t="shared" si="2"/>
        <v>2</v>
      </c>
      <c r="H13" s="4">
        <f>'Data and assumptions'!K18*0.5*'Airline delay'!G13</f>
        <v>228800</v>
      </c>
      <c r="I13">
        <f t="shared" si="0"/>
        <v>27887000</v>
      </c>
      <c r="K13" s="17">
        <f>'Data and assumptions'!$D$53*'Airline delay'!H13/1000000</f>
        <v>7.816723199999998</v>
      </c>
      <c r="L13" s="17">
        <f>I13*(('Data and assumptions'!$H$29*'Data and assumptions'!$D$49/30)+('Data and assumptions'!$H$30*'Data and assumptions'!$D$50/15))/1000000</f>
        <v>5.80746775</v>
      </c>
      <c r="M13" s="17">
        <f t="shared" si="1"/>
        <v>13.62419095</v>
      </c>
    </row>
    <row r="14" spans="2:13" ht="12.75">
      <c r="B14">
        <v>2017</v>
      </c>
      <c r="C14">
        <f>'Data and assumptions'!I19</f>
        <v>14080</v>
      </c>
      <c r="E14" s="4">
        <f>'Data and assumptions'!O19*'Data and assumptions'!$D$52*100*'Data and assumptions'!$D$51/1000000</f>
        <v>6.342266890005587</v>
      </c>
      <c r="G14" s="8">
        <f t="shared" si="2"/>
        <v>2</v>
      </c>
      <c r="H14" s="4">
        <f>'Data and assumptions'!K19*0.5*'Airline delay'!G14</f>
        <v>233800</v>
      </c>
      <c r="I14">
        <f t="shared" si="0"/>
        <v>28160000</v>
      </c>
      <c r="K14" s="17">
        <f>'Data and assumptions'!$D$53*'Airline delay'!H14/1000000</f>
        <v>7.987543199999998</v>
      </c>
      <c r="L14" s="17">
        <f>I14*(('Data and assumptions'!$H$29*'Data and assumptions'!$D$49/30)+('Data and assumptions'!$H$30*'Data and assumptions'!$D$50/15))/1000000</f>
        <v>5.86432</v>
      </c>
      <c r="M14" s="17">
        <f t="shared" si="1"/>
        <v>13.851863199999999</v>
      </c>
    </row>
    <row r="15" spans="2:13" ht="12.75">
      <c r="B15">
        <v>2018</v>
      </c>
      <c r="C15">
        <f>'Data and assumptions'!I20</f>
        <v>14201</v>
      </c>
      <c r="E15" s="4">
        <f>'Data and assumptions'!O20*'Data and assumptions'!$D$52*100*'Data and assumptions'!$D$51/1000000</f>
        <v>6.342266890005587</v>
      </c>
      <c r="G15" s="8">
        <f t="shared" si="2"/>
        <v>2</v>
      </c>
      <c r="H15" s="4">
        <f>'Data and assumptions'!K20*0.5*'Airline delay'!G15</f>
        <v>238800</v>
      </c>
      <c r="I15">
        <f t="shared" si="0"/>
        <v>28402000</v>
      </c>
      <c r="K15" s="17">
        <f>'Data and assumptions'!$D$53*'Airline delay'!H15/1000000</f>
        <v>8.158363199999998</v>
      </c>
      <c r="L15" s="17">
        <f>I15*(('Data and assumptions'!$H$29*'Data and assumptions'!$D$49/30)+('Data and assumptions'!$H$30*'Data and assumptions'!$D$50/15))/1000000</f>
        <v>5.9147165</v>
      </c>
      <c r="M15" s="17">
        <f t="shared" si="1"/>
        <v>14.073079699999997</v>
      </c>
    </row>
    <row r="16" spans="2:13" ht="12.75">
      <c r="B16">
        <v>2019</v>
      </c>
      <c r="C16">
        <f>'Data and assumptions'!I21</f>
        <v>14307</v>
      </c>
      <c r="E16" s="4">
        <f>'Data and assumptions'!O21*'Data and assumptions'!$D$52*100*'Data and assumptions'!$D$51/1000000</f>
        <v>6.342266890005587</v>
      </c>
      <c r="G16" s="8">
        <f t="shared" si="2"/>
        <v>2</v>
      </c>
      <c r="H16" s="4">
        <f>'Data and assumptions'!K21*0.5*'Airline delay'!G16</f>
        <v>243800</v>
      </c>
      <c r="I16">
        <f t="shared" si="0"/>
        <v>28614000</v>
      </c>
      <c r="K16" s="17">
        <f>'Data and assumptions'!$D$53*'Airline delay'!H16/1000000</f>
        <v>8.329183199999997</v>
      </c>
      <c r="L16" s="17">
        <f>I16*(('Data and assumptions'!$H$29*'Data and assumptions'!$D$49/30)+('Data and assumptions'!$H$30*'Data and assumptions'!$D$50/15))/1000000</f>
        <v>5.9588655</v>
      </c>
      <c r="M16" s="17">
        <f t="shared" si="1"/>
        <v>14.288048699999997</v>
      </c>
    </row>
    <row r="17" spans="2:13" ht="12.75">
      <c r="B17">
        <v>2020</v>
      </c>
      <c r="C17">
        <f>'Data and assumptions'!I22</f>
        <v>14401</v>
      </c>
      <c r="E17" s="4">
        <f>'Data and assumptions'!O22*'Data and assumptions'!$D$52*100*'Data and assumptions'!$D$51/1000000</f>
        <v>6.342266890005587</v>
      </c>
      <c r="G17" s="8">
        <f t="shared" si="2"/>
        <v>2</v>
      </c>
      <c r="H17" s="4">
        <f>'Data and assumptions'!K22*0.5*'Airline delay'!G17</f>
        <v>248800</v>
      </c>
      <c r="I17">
        <f t="shared" si="0"/>
        <v>28802000</v>
      </c>
      <c r="K17" s="17">
        <f>'Data and assumptions'!$D$53*'Airline delay'!H17/1000000</f>
        <v>8.5000032</v>
      </c>
      <c r="L17" s="17">
        <f>I17*(('Data and assumptions'!$H$29*'Data and assumptions'!$D$49/30)+('Data and assumptions'!$H$30*'Data and assumptions'!$D$50/15))/1000000</f>
        <v>5.9980165</v>
      </c>
      <c r="M17" s="17">
        <f t="shared" si="1"/>
        <v>14.4980197</v>
      </c>
    </row>
    <row r="19" ht="12.75">
      <c r="B19" t="s">
        <v>25</v>
      </c>
    </row>
    <row r="20" spans="2:4" ht="12.75">
      <c r="B20" t="s">
        <v>23</v>
      </c>
      <c r="C20" s="25">
        <f>'Data and assumptions'!D41</f>
        <v>4</v>
      </c>
      <c r="D20" s="4"/>
    </row>
    <row r="21" spans="2:3" ht="12.75">
      <c r="B21" t="s">
        <v>17</v>
      </c>
      <c r="C21" s="23">
        <f>'Data and assumptions'!D42</f>
        <v>2</v>
      </c>
    </row>
    <row r="23" ht="12.75">
      <c r="B23" t="s">
        <v>28</v>
      </c>
    </row>
    <row r="24" spans="2:4" ht="12.75">
      <c r="B24" t="s">
        <v>23</v>
      </c>
      <c r="C24" s="27">
        <f>'Data and assumptions'!D49</f>
        <v>7.35</v>
      </c>
      <c r="D24" s="8"/>
    </row>
    <row r="25" spans="2:4" ht="12.75">
      <c r="B25" t="s">
        <v>17</v>
      </c>
      <c r="C25" s="27">
        <f>'Data and assumptions'!D50</f>
        <v>2.8875</v>
      </c>
      <c r="D25" s="8"/>
    </row>
    <row r="27" ht="12.75">
      <c r="B27" t="s">
        <v>50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I17" sqref="I17"/>
    </sheetView>
  </sheetViews>
  <sheetFormatPr defaultColWidth="9.140625" defaultRowHeight="12.75"/>
  <sheetData>
    <row r="1" ht="12.75">
      <c r="A1" t="s">
        <v>0</v>
      </c>
    </row>
    <row r="2" spans="5:9" ht="12.75">
      <c r="E2" t="s">
        <v>28</v>
      </c>
      <c r="G2" t="s">
        <v>25</v>
      </c>
      <c r="I2" t="s">
        <v>26</v>
      </c>
    </row>
    <row r="3" spans="2:9" ht="12.75">
      <c r="B3">
        <v>2006</v>
      </c>
      <c r="C3">
        <f>'Data and assumptions'!H8</f>
        <v>10205.5</v>
      </c>
      <c r="E3">
        <f>C3*'Data and assumptions'!$D$50</f>
        <v>29468.381250000002</v>
      </c>
      <c r="G3">
        <f>C3*'Data and assumptions'!$D$42</f>
        <v>20411</v>
      </c>
      <c r="I3" s="4">
        <f>IF('Data and assumptions'!$G$2=0,E3+G3,IF('Data and assumptions'!$G$2=1,0,E3+G3))</f>
        <v>49879.381250000006</v>
      </c>
    </row>
    <row r="4" spans="2:9" ht="12.75">
      <c r="B4">
        <v>2007</v>
      </c>
      <c r="C4">
        <f>'Data and assumptions'!H9</f>
        <v>10828.5</v>
      </c>
      <c r="E4">
        <f>C4*'Data and assumptions'!$D$50</f>
        <v>31267.29375</v>
      </c>
      <c r="G4">
        <f>C4*'Data and assumptions'!$D$42</f>
        <v>21657</v>
      </c>
      <c r="I4" s="4">
        <f>IF('Data and assumptions'!$G$2=0,E4+G4,IF('Data and assumptions'!$G$2=1,0,E4+G4))</f>
        <v>52924.29375</v>
      </c>
    </row>
    <row r="5" spans="2:9" ht="12.75">
      <c r="B5">
        <v>2008</v>
      </c>
      <c r="C5">
        <f>'Data and assumptions'!H10</f>
        <v>11281.5</v>
      </c>
      <c r="E5">
        <f>C5*'Data and assumptions'!$D$50</f>
        <v>32575.331250000003</v>
      </c>
      <c r="G5">
        <f>C5*'Data and assumptions'!$D$42</f>
        <v>22563</v>
      </c>
      <c r="I5" s="4">
        <f>IF('Data and assumptions'!$G$2=0,E5+G5,IF('Data and assumptions'!$G$2=1,0,E5+G5))</f>
        <v>55138.33125</v>
      </c>
    </row>
    <row r="6" spans="2:9" ht="12.75">
      <c r="B6">
        <v>2009</v>
      </c>
      <c r="C6">
        <f>'Data and assumptions'!H11</f>
        <v>11620.5</v>
      </c>
      <c r="E6">
        <f>C6*'Data and assumptions'!$D$50</f>
        <v>33554.19375</v>
      </c>
      <c r="G6">
        <f>C6*'Data and assumptions'!$D$42</f>
        <v>23241</v>
      </c>
      <c r="I6" s="4">
        <f>IF('Data and assumptions'!$G$2=0,E6+G6,IF('Data and assumptions'!$G$2=1,0,E6+G6))</f>
        <v>56795.19375</v>
      </c>
    </row>
    <row r="7" spans="2:9" ht="12.75">
      <c r="B7">
        <v>2010</v>
      </c>
      <c r="C7">
        <f>'Data and assumptions'!H12</f>
        <v>12097.5</v>
      </c>
      <c r="E7">
        <f>C7*'Data and assumptions'!$D$50</f>
        <v>34931.53125</v>
      </c>
      <c r="G7">
        <f>C7*'Data and assumptions'!$D$42</f>
        <v>24195</v>
      </c>
      <c r="I7" s="4">
        <f>IF('Data and assumptions'!$G$2=0,E7+G7,IF('Data and assumptions'!$G$2=1,0,E7+G7))</f>
        <v>59126.53125</v>
      </c>
    </row>
    <row r="8" spans="2:9" ht="12.75">
      <c r="B8">
        <v>2011</v>
      </c>
      <c r="C8">
        <f>'Data and assumptions'!H13</f>
        <v>12463</v>
      </c>
      <c r="E8">
        <f>C8*'Data and assumptions'!$D$50</f>
        <v>35986.912500000006</v>
      </c>
      <c r="G8">
        <f>C8*'Data and assumptions'!$D$42</f>
        <v>24926</v>
      </c>
      <c r="I8" s="4">
        <f>IF('Data and assumptions'!$G$2=0,E8+G8,IF('Data and assumptions'!$G$2=1,0,E8+G8))</f>
        <v>60912.912500000006</v>
      </c>
    </row>
    <row r="9" spans="2:9" ht="12.75">
      <c r="B9">
        <v>2012</v>
      </c>
      <c r="C9">
        <f>'Data and assumptions'!H14</f>
        <v>12913.5</v>
      </c>
      <c r="E9">
        <f>C9*'Data and assumptions'!$D$50</f>
        <v>37287.731250000004</v>
      </c>
      <c r="G9">
        <f>C9*'Data and assumptions'!$D$42</f>
        <v>25827</v>
      </c>
      <c r="I9" s="4">
        <f>IF('Data and assumptions'!$G$2=0,E9+G9,IF('Data and assumptions'!$G$2=1,0,E9+G9))</f>
        <v>63114.731250000004</v>
      </c>
    </row>
    <row r="10" spans="2:9" ht="12.75">
      <c r="B10">
        <v>2013</v>
      </c>
      <c r="C10">
        <f>'Data and assumptions'!H15</f>
        <v>13333.5</v>
      </c>
      <c r="E10">
        <f>C10*'Data and assumptions'!$D$50</f>
        <v>38500.481250000004</v>
      </c>
      <c r="G10">
        <f>C10*'Data and assumptions'!$D$42</f>
        <v>26667</v>
      </c>
      <c r="I10" s="4">
        <f>IF('Data and assumptions'!$G$2=0,E10+G10,IF('Data and assumptions'!$G$2=1,0,E10+G10))</f>
        <v>65167.481250000004</v>
      </c>
    </row>
    <row r="11" spans="2:9" ht="12.75">
      <c r="B11">
        <v>2014</v>
      </c>
      <c r="C11">
        <f>'Data and assumptions'!H16</f>
        <v>13684</v>
      </c>
      <c r="E11">
        <f>C11*'Data and assumptions'!$D$50</f>
        <v>39512.55</v>
      </c>
      <c r="G11">
        <f>C11*'Data and assumptions'!$D$42</f>
        <v>27368</v>
      </c>
      <c r="I11" s="4">
        <f>IF('Data and assumptions'!$G$2=0,E11+G11,IF('Data and assumptions'!$G$2=1,0,E11+G11))</f>
        <v>66880.55</v>
      </c>
    </row>
    <row r="12" spans="2:9" ht="12.75">
      <c r="B12">
        <v>2015</v>
      </c>
      <c r="C12">
        <f>'Data and assumptions'!H17</f>
        <v>13755</v>
      </c>
      <c r="E12">
        <f>C12*'Data and assumptions'!$D$50</f>
        <v>39717.5625</v>
      </c>
      <c r="G12">
        <f>C12*'Data and assumptions'!$D$42</f>
        <v>27510</v>
      </c>
      <c r="I12" s="4">
        <f>IF('Data and assumptions'!$G$2=0,E12+G12,IF('Data and assumptions'!$G$2=1,0,E12+G12))</f>
        <v>67227.5625</v>
      </c>
    </row>
    <row r="13" spans="2:9" ht="12.75">
      <c r="B13">
        <v>2016</v>
      </c>
      <c r="C13">
        <f>'Data and assumptions'!H18</f>
        <v>13943.5</v>
      </c>
      <c r="E13">
        <f>C13*'Data and assumptions'!$D$50</f>
        <v>40261.856250000004</v>
      </c>
      <c r="G13">
        <f>C13*'Data and assumptions'!$D$42</f>
        <v>27887</v>
      </c>
      <c r="I13" s="4">
        <f>IF('Data and assumptions'!$G$2=0,E13+G13,IF('Data and assumptions'!$G$2=1,0,E13+G13))</f>
        <v>68148.85625000001</v>
      </c>
    </row>
    <row r="14" spans="2:9" ht="12.75">
      <c r="B14">
        <v>2017</v>
      </c>
      <c r="C14">
        <f>'Data and assumptions'!H19</f>
        <v>14080</v>
      </c>
      <c r="E14">
        <f>C14*'Data and assumptions'!$D$50</f>
        <v>40656</v>
      </c>
      <c r="G14">
        <f>C14*'Data and assumptions'!$D$42</f>
        <v>28160</v>
      </c>
      <c r="I14" s="4">
        <f>IF('Data and assumptions'!$G$2=0,E14+G14,IF('Data and assumptions'!$G$2=1,0,E14+G14))</f>
        <v>68816</v>
      </c>
    </row>
    <row r="15" spans="2:9" ht="12.75">
      <c r="B15">
        <v>2018</v>
      </c>
      <c r="C15">
        <f>'Data and assumptions'!H20</f>
        <v>14201</v>
      </c>
      <c r="E15">
        <f>C15*'Data and assumptions'!$D$50</f>
        <v>41005.387500000004</v>
      </c>
      <c r="G15">
        <f>C15*'Data and assumptions'!$D$42</f>
        <v>28402</v>
      </c>
      <c r="I15" s="4">
        <f>IF('Data and assumptions'!$G$2=0,E15+G15,IF('Data and assumptions'!$G$2=1,0,E15+G15))</f>
        <v>69407.38750000001</v>
      </c>
    </row>
    <row r="16" spans="2:9" ht="12.75">
      <c r="B16">
        <v>2019</v>
      </c>
      <c r="C16">
        <f>'Data and assumptions'!H21</f>
        <v>14307</v>
      </c>
      <c r="E16">
        <f>C16*'Data and assumptions'!$D$50</f>
        <v>41311.4625</v>
      </c>
      <c r="G16">
        <f>C16*'Data and assumptions'!$D$42</f>
        <v>28614</v>
      </c>
      <c r="I16" s="4">
        <f>IF('Data and assumptions'!$G$2=0,E16+G16,IF('Data and assumptions'!$G$2=1,0,E16+G16))</f>
        <v>69925.4625</v>
      </c>
    </row>
    <row r="17" spans="2:9" ht="12.75">
      <c r="B17">
        <v>2020</v>
      </c>
      <c r="C17">
        <f>'Data and assumptions'!H22</f>
        <v>14401</v>
      </c>
      <c r="E17">
        <f>C17*'Data and assumptions'!$D$50</f>
        <v>41582.887500000004</v>
      </c>
      <c r="G17">
        <f>C17*'Data and assumptions'!$D$42</f>
        <v>28802</v>
      </c>
      <c r="I17" s="4">
        <f>IF('Data and assumptions'!$G$2=0,E17+G17,IF('Data and assumptions'!$G$2=1,0,E17+G17))</f>
        <v>70384.88750000001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C8" sqref="C8"/>
    </sheetView>
  </sheetViews>
  <sheetFormatPr defaultColWidth="9.140625" defaultRowHeight="12.75"/>
  <sheetData>
    <row r="1" ht="12.75">
      <c r="A1" t="s">
        <v>0</v>
      </c>
    </row>
    <row r="2" spans="5:14" ht="12.75">
      <c r="E2" t="s">
        <v>13</v>
      </c>
      <c r="I2" t="s">
        <v>14</v>
      </c>
      <c r="N2" t="s">
        <v>7</v>
      </c>
    </row>
    <row r="3" spans="3:17" ht="12.75">
      <c r="C3" t="s">
        <v>1</v>
      </c>
      <c r="E3" t="s">
        <v>32</v>
      </c>
      <c r="F3" t="s">
        <v>8</v>
      </c>
      <c r="G3" t="s">
        <v>10</v>
      </c>
      <c r="I3" t="s">
        <v>32</v>
      </c>
      <c r="J3" t="s">
        <v>8</v>
      </c>
      <c r="K3" t="s">
        <v>10</v>
      </c>
      <c r="L3" t="s">
        <v>26</v>
      </c>
      <c r="N3" t="s">
        <v>75</v>
      </c>
      <c r="O3" t="s">
        <v>72</v>
      </c>
      <c r="P3" t="s">
        <v>73</v>
      </c>
      <c r="Q3" t="s">
        <v>77</v>
      </c>
    </row>
    <row r="4" spans="2:17" ht="12.75">
      <c r="B4">
        <v>2006</v>
      </c>
      <c r="C4">
        <v>0</v>
      </c>
      <c r="E4">
        <f>C4*$C$22</f>
        <v>0</v>
      </c>
      <c r="F4">
        <f>C4*$C$23</f>
        <v>0</v>
      </c>
      <c r="G4">
        <f>C4*$C$24</f>
        <v>0</v>
      </c>
      <c r="I4" s="4">
        <f>E4*'Data and assumptions'!$F$33</f>
        <v>0</v>
      </c>
      <c r="J4" s="4">
        <f>F4*'Data and assumptions'!$F$34</f>
        <v>0</v>
      </c>
      <c r="K4" s="4">
        <f>G4*'Data and assumptions'!$F$35</f>
        <v>0</v>
      </c>
      <c r="L4" s="4">
        <f>SUM(I4:K4)</f>
        <v>0</v>
      </c>
      <c r="N4" s="4">
        <f>L4</f>
        <v>0</v>
      </c>
      <c r="O4" s="4">
        <f>L4-N4</f>
        <v>0</v>
      </c>
      <c r="P4" s="4">
        <f>N4+O4</f>
        <v>0</v>
      </c>
      <c r="Q4">
        <f>IF('Data and assumptions'!$G$2=0,Constrained!N4,IF('Data and assumptions'!$G$2=1,Constrained!O4,Constrained!P4))</f>
        <v>0</v>
      </c>
    </row>
    <row r="5" spans="2:17" ht="12.75">
      <c r="B5">
        <v>2007</v>
      </c>
      <c r="C5">
        <v>0</v>
      </c>
      <c r="E5">
        <f aca="true" t="shared" si="0" ref="E5:E18">C5*$C$22</f>
        <v>0</v>
      </c>
      <c r="F5">
        <f aca="true" t="shared" si="1" ref="F5:F18">C5*$C$23</f>
        <v>0</v>
      </c>
      <c r="G5">
        <f aca="true" t="shared" si="2" ref="G5:G18">C5*$C$24</f>
        <v>0</v>
      </c>
      <c r="I5" s="4">
        <f>E5*'Data and assumptions'!$F$33</f>
        <v>0</v>
      </c>
      <c r="J5" s="4">
        <f>F5*'Data and assumptions'!$F$34</f>
        <v>0</v>
      </c>
      <c r="K5" s="4">
        <f>G5*'Data and assumptions'!$F$35</f>
        <v>0</v>
      </c>
      <c r="L5" s="4">
        <f aca="true" t="shared" si="3" ref="L5:L18">SUM(I5:K5)</f>
        <v>0</v>
      </c>
      <c r="N5" s="4">
        <f>L5</f>
        <v>0</v>
      </c>
      <c r="O5" s="4">
        <f>L5-N5</f>
        <v>0</v>
      </c>
      <c r="P5" s="4">
        <f>N5+O5</f>
        <v>0</v>
      </c>
      <c r="Q5">
        <f>IF('Data and assumptions'!$G$2=0,Constrained!N5,IF('Data and assumptions'!$G$2=1,Constrained!O5,Constrained!P5))</f>
        <v>0</v>
      </c>
    </row>
    <row r="6" spans="2:17" ht="12.75">
      <c r="B6">
        <v>2008</v>
      </c>
      <c r="C6">
        <v>0</v>
      </c>
      <c r="E6">
        <f t="shared" si="0"/>
        <v>0</v>
      </c>
      <c r="F6">
        <f t="shared" si="1"/>
        <v>0</v>
      </c>
      <c r="G6">
        <f t="shared" si="2"/>
        <v>0</v>
      </c>
      <c r="I6" s="4">
        <f>E6*'Data and assumptions'!$F$33</f>
        <v>0</v>
      </c>
      <c r="J6" s="4">
        <f>F6*'Data and assumptions'!$F$34</f>
        <v>0</v>
      </c>
      <c r="K6" s="4">
        <f>G6*'Data and assumptions'!$F$35</f>
        <v>0</v>
      </c>
      <c r="L6" s="4">
        <f t="shared" si="3"/>
        <v>0</v>
      </c>
      <c r="N6">
        <f>L6</f>
        <v>0</v>
      </c>
      <c r="O6" s="4">
        <f>L6-N6</f>
        <v>0</v>
      </c>
      <c r="P6" s="4">
        <f>N6+O6</f>
        <v>0</v>
      </c>
      <c r="Q6">
        <f>IF('Data and assumptions'!$G$2=0,Constrained!N6,IF('Data and assumptions'!$G$2=1,Constrained!O6,Constrained!P6))</f>
        <v>0</v>
      </c>
    </row>
    <row r="7" spans="2:17" ht="12.75">
      <c r="B7">
        <v>2009</v>
      </c>
      <c r="C7">
        <v>372</v>
      </c>
      <c r="E7">
        <f t="shared" si="0"/>
        <v>52.080000000000005</v>
      </c>
      <c r="F7">
        <f t="shared" si="1"/>
        <v>3.72</v>
      </c>
      <c r="G7">
        <f t="shared" si="2"/>
        <v>316.2</v>
      </c>
      <c r="I7" s="4">
        <f>E7*'Data and assumptions'!$F$33</f>
        <v>1239.5040000000001</v>
      </c>
      <c r="J7" s="4">
        <f>F7*'Data and assumptions'!$F$34</f>
        <v>199.39200000000002</v>
      </c>
      <c r="K7" s="4">
        <f>G7*'Data and assumptions'!$F$35</f>
        <v>316.2</v>
      </c>
      <c r="L7" s="4">
        <f t="shared" si="3"/>
        <v>1755.0960000000002</v>
      </c>
      <c r="N7" s="4">
        <f>L7</f>
        <v>1755.0960000000002</v>
      </c>
      <c r="O7" s="4">
        <f>L7-L7</f>
        <v>0</v>
      </c>
      <c r="P7" s="4">
        <f>L7</f>
        <v>1755.0960000000002</v>
      </c>
      <c r="Q7" s="4">
        <f>IF('Data and assumptions'!$G$2=0,Constrained!N7,IF('Data and assumptions'!$G$2=1,Constrained!O7,Constrained!P7))</f>
        <v>1755.0960000000002</v>
      </c>
    </row>
    <row r="8" spans="2:17" ht="12.75">
      <c r="B8">
        <v>2010</v>
      </c>
      <c r="C8">
        <v>522</v>
      </c>
      <c r="E8">
        <f t="shared" si="0"/>
        <v>73.08000000000001</v>
      </c>
      <c r="F8">
        <f t="shared" si="1"/>
        <v>5.22</v>
      </c>
      <c r="G8">
        <f t="shared" si="2"/>
        <v>443.7</v>
      </c>
      <c r="I8" s="4">
        <f>E8*'Data and assumptions'!$F$33</f>
        <v>1739.3040000000003</v>
      </c>
      <c r="J8" s="4">
        <f>F8*'Data and assumptions'!$F$34</f>
        <v>279.792</v>
      </c>
      <c r="K8" s="4">
        <f>G8*'Data and assumptions'!$F$35</f>
        <v>443.7</v>
      </c>
      <c r="L8" s="4">
        <f t="shared" si="3"/>
        <v>2462.7960000000003</v>
      </c>
      <c r="N8" s="4">
        <f aca="true" t="shared" si="4" ref="N8:N18">L8</f>
        <v>2462.7960000000003</v>
      </c>
      <c r="O8" s="4">
        <f>L8-L8</f>
        <v>0</v>
      </c>
      <c r="P8" s="4">
        <f aca="true" t="shared" si="5" ref="P8:P18">L8</f>
        <v>2462.7960000000003</v>
      </c>
      <c r="Q8" s="4">
        <f>IF('Data and assumptions'!$G$2=0,Constrained!N8,IF('Data and assumptions'!$G$2=1,Constrained!O8,Constrained!P8))</f>
        <v>2462.7960000000003</v>
      </c>
    </row>
    <row r="9" spans="2:17" ht="12.75">
      <c r="B9">
        <v>2011</v>
      </c>
      <c r="C9">
        <f>24396-23499</f>
        <v>897</v>
      </c>
      <c r="E9">
        <f t="shared" si="0"/>
        <v>125.58000000000001</v>
      </c>
      <c r="F9">
        <f t="shared" si="1"/>
        <v>8.97</v>
      </c>
      <c r="G9">
        <f t="shared" si="2"/>
        <v>762.4499999999999</v>
      </c>
      <c r="I9" s="4">
        <f>E9*'Data and assumptions'!$F$33</f>
        <v>2988.8040000000005</v>
      </c>
      <c r="J9" s="4">
        <f>F9*'Data and assumptions'!$F$34</f>
        <v>480.79200000000003</v>
      </c>
      <c r="K9" s="4">
        <f>G9*'Data and assumptions'!$F$35</f>
        <v>762.4499999999999</v>
      </c>
      <c r="L9" s="4">
        <f t="shared" si="3"/>
        <v>4232.046</v>
      </c>
      <c r="N9" s="4">
        <f t="shared" si="4"/>
        <v>4232.046</v>
      </c>
      <c r="O9" s="4">
        <f>L9-$L$8</f>
        <v>1769.25</v>
      </c>
      <c r="P9" s="4">
        <f t="shared" si="5"/>
        <v>4232.046</v>
      </c>
      <c r="Q9" s="4">
        <f>IF('Data and assumptions'!$G$2=0,Constrained!N9,IF('Data and assumptions'!$G$2=1,Constrained!O9,Constrained!P9))</f>
        <v>4232.046</v>
      </c>
    </row>
    <row r="10" spans="2:17" ht="12.75">
      <c r="B10">
        <v>2012</v>
      </c>
      <c r="C10">
        <f>25281-24337</f>
        <v>944</v>
      </c>
      <c r="E10">
        <f t="shared" si="0"/>
        <v>132.16000000000003</v>
      </c>
      <c r="F10">
        <f t="shared" si="1"/>
        <v>9.44</v>
      </c>
      <c r="G10">
        <f t="shared" si="2"/>
        <v>802.4</v>
      </c>
      <c r="I10" s="4">
        <f>E10*'Data and assumptions'!$F$33</f>
        <v>3145.408000000001</v>
      </c>
      <c r="J10" s="4">
        <f>F10*'Data and assumptions'!$F$34</f>
        <v>505.984</v>
      </c>
      <c r="K10" s="4">
        <f>G10*'Data and assumptions'!$F$35</f>
        <v>802.4</v>
      </c>
      <c r="L10" s="4">
        <f t="shared" si="3"/>
        <v>4453.792</v>
      </c>
      <c r="N10" s="4">
        <f t="shared" si="4"/>
        <v>4453.792</v>
      </c>
      <c r="O10" s="4">
        <f aca="true" t="shared" si="6" ref="O10:O18">L10-$L$8</f>
        <v>1990.996</v>
      </c>
      <c r="P10" s="4">
        <f t="shared" si="5"/>
        <v>4453.792</v>
      </c>
      <c r="Q10" s="4">
        <f>IF('Data and assumptions'!$G$2=0,Constrained!N10,IF('Data and assumptions'!$G$2=1,Constrained!O10,Constrained!P10))</f>
        <v>4453.792</v>
      </c>
    </row>
    <row r="11" spans="2:17" ht="12.75">
      <c r="B11">
        <v>2013</v>
      </c>
      <c r="C11">
        <f>26198-25194</f>
        <v>1004</v>
      </c>
      <c r="E11">
        <f t="shared" si="0"/>
        <v>140.56</v>
      </c>
      <c r="F11">
        <f t="shared" si="1"/>
        <v>10.040000000000001</v>
      </c>
      <c r="G11">
        <f t="shared" si="2"/>
        <v>853.4</v>
      </c>
      <c r="I11" s="4">
        <f>E11*'Data and assumptions'!$F$33</f>
        <v>3345.328</v>
      </c>
      <c r="J11" s="4">
        <f>F11*'Data and assumptions'!$F$34</f>
        <v>538.1440000000001</v>
      </c>
      <c r="K11" s="4">
        <f>G11*'Data and assumptions'!$F$35</f>
        <v>853.4</v>
      </c>
      <c r="L11" s="4">
        <f t="shared" si="3"/>
        <v>4736.872</v>
      </c>
      <c r="N11" s="4">
        <f t="shared" si="4"/>
        <v>4736.872</v>
      </c>
      <c r="O11" s="4">
        <f t="shared" si="6"/>
        <v>2274.076</v>
      </c>
      <c r="P11" s="4">
        <f t="shared" si="5"/>
        <v>4736.872</v>
      </c>
      <c r="Q11" s="4">
        <f>IF('Data and assumptions'!$G$2=0,Constrained!N11,IF('Data and assumptions'!$G$2=1,Constrained!O11,Constrained!P11))</f>
        <v>4736.872</v>
      </c>
    </row>
    <row r="12" spans="2:17" ht="12.75">
      <c r="B12">
        <v>2014</v>
      </c>
      <c r="C12">
        <f>27150-25979</f>
        <v>1171</v>
      </c>
      <c r="E12">
        <f t="shared" si="0"/>
        <v>163.94000000000003</v>
      </c>
      <c r="F12">
        <f t="shared" si="1"/>
        <v>11.71</v>
      </c>
      <c r="G12">
        <f t="shared" si="2"/>
        <v>995.35</v>
      </c>
      <c r="I12" s="4">
        <f>E12*'Data and assumptions'!$F$33</f>
        <v>3901.772000000001</v>
      </c>
      <c r="J12" s="4">
        <f>F12*'Data and assumptions'!$F$34</f>
        <v>627.6560000000001</v>
      </c>
      <c r="K12" s="4">
        <f>G12*'Data and assumptions'!$F$35</f>
        <v>995.35</v>
      </c>
      <c r="L12" s="4">
        <f t="shared" si="3"/>
        <v>5524.778000000001</v>
      </c>
      <c r="N12" s="4">
        <f t="shared" si="4"/>
        <v>5524.778000000001</v>
      </c>
      <c r="O12" s="4">
        <f t="shared" si="6"/>
        <v>3061.982000000001</v>
      </c>
      <c r="P12" s="4">
        <f t="shared" si="5"/>
        <v>5524.778000000001</v>
      </c>
      <c r="Q12" s="4">
        <f>IF('Data and assumptions'!$G$2=0,Constrained!N12,IF('Data and assumptions'!$G$2=1,Constrained!O12,Constrained!P12))</f>
        <v>5524.778000000001</v>
      </c>
    </row>
    <row r="13" spans="2:17" ht="12.75">
      <c r="B13">
        <v>2015</v>
      </c>
      <c r="C13">
        <f>28137-26252</f>
        <v>1885</v>
      </c>
      <c r="E13">
        <f t="shared" si="0"/>
        <v>263.90000000000003</v>
      </c>
      <c r="F13">
        <f t="shared" si="1"/>
        <v>18.85</v>
      </c>
      <c r="G13">
        <f t="shared" si="2"/>
        <v>1602.25</v>
      </c>
      <c r="I13" s="4">
        <f>E13*'Data and assumptions'!$F$33</f>
        <v>6280.820000000001</v>
      </c>
      <c r="J13" s="4">
        <f>F13*'Data and assumptions'!$F$34</f>
        <v>1010.3600000000001</v>
      </c>
      <c r="K13" s="4">
        <f>G13*'Data and assumptions'!$F$35</f>
        <v>1602.25</v>
      </c>
      <c r="L13" s="4">
        <f t="shared" si="3"/>
        <v>8893.43</v>
      </c>
      <c r="N13" s="4">
        <f t="shared" si="4"/>
        <v>8893.43</v>
      </c>
      <c r="O13" s="4">
        <f t="shared" si="6"/>
        <v>6430.634</v>
      </c>
      <c r="P13" s="4">
        <f t="shared" si="5"/>
        <v>8893.43</v>
      </c>
      <c r="Q13" s="4">
        <f>IF('Data and assumptions'!$G$2=0,Constrained!N13,IF('Data and assumptions'!$G$2=1,Constrained!O13,Constrained!P13))</f>
        <v>8893.43</v>
      </c>
    </row>
    <row r="14" spans="2:17" ht="12.75">
      <c r="B14">
        <v>2016</v>
      </c>
      <c r="C14">
        <f>29110-26497</f>
        <v>2613</v>
      </c>
      <c r="E14">
        <f t="shared" si="0"/>
        <v>365.82000000000005</v>
      </c>
      <c r="F14">
        <f t="shared" si="1"/>
        <v>26.13</v>
      </c>
      <c r="G14">
        <f t="shared" si="2"/>
        <v>2221.0499999999997</v>
      </c>
      <c r="I14" s="4">
        <f>E14*'Data and assumptions'!$F$33</f>
        <v>8706.516000000001</v>
      </c>
      <c r="J14" s="4">
        <f>F14*'Data and assumptions'!$F$34</f>
        <v>1400.568</v>
      </c>
      <c r="K14" s="4">
        <f>G14*'Data and assumptions'!$F$35</f>
        <v>2221.0499999999997</v>
      </c>
      <c r="L14" s="4">
        <f t="shared" si="3"/>
        <v>12328.134</v>
      </c>
      <c r="N14" s="4">
        <f t="shared" si="4"/>
        <v>12328.134</v>
      </c>
      <c r="O14" s="4">
        <f t="shared" si="6"/>
        <v>9865.338</v>
      </c>
      <c r="P14" s="4">
        <f t="shared" si="5"/>
        <v>12328.134</v>
      </c>
      <c r="Q14" s="4">
        <f>IF('Data and assumptions'!$G$2=0,Constrained!N14,IF('Data and assumptions'!$G$2=1,Constrained!O14,Constrained!P14))</f>
        <v>12328.134</v>
      </c>
    </row>
    <row r="15" spans="2:17" ht="12.75">
      <c r="B15">
        <v>2017</v>
      </c>
      <c r="C15">
        <f>30078-26738</f>
        <v>3340</v>
      </c>
      <c r="E15">
        <f t="shared" si="0"/>
        <v>467.6</v>
      </c>
      <c r="F15">
        <f t="shared" si="1"/>
        <v>33.4</v>
      </c>
      <c r="G15">
        <f t="shared" si="2"/>
        <v>2839</v>
      </c>
      <c r="I15" s="4">
        <f>E15*'Data and assumptions'!$F$33</f>
        <v>11128.880000000001</v>
      </c>
      <c r="J15" s="4">
        <f>F15*'Data and assumptions'!$F$34</f>
        <v>1790.24</v>
      </c>
      <c r="K15" s="4">
        <f>G15*'Data and assumptions'!$F$35</f>
        <v>2839</v>
      </c>
      <c r="L15" s="4">
        <f t="shared" si="3"/>
        <v>15758.12</v>
      </c>
      <c r="N15" s="4">
        <f t="shared" si="4"/>
        <v>15758.12</v>
      </c>
      <c r="O15" s="4">
        <f t="shared" si="6"/>
        <v>13295.324</v>
      </c>
      <c r="P15" s="4">
        <f t="shared" si="5"/>
        <v>15758.12</v>
      </c>
      <c r="Q15" s="4">
        <f>IF('Data and assumptions'!$G$2=0,Constrained!N15,IF('Data and assumptions'!$G$2=1,Constrained!O15,Constrained!P15))</f>
        <v>15758.12</v>
      </c>
    </row>
    <row r="16" spans="2:17" ht="12.75">
      <c r="B16">
        <v>2018</v>
      </c>
      <c r="C16">
        <f>31079-26981</f>
        <v>4098</v>
      </c>
      <c r="E16">
        <f t="shared" si="0"/>
        <v>573.72</v>
      </c>
      <c r="F16">
        <f t="shared" si="1"/>
        <v>40.980000000000004</v>
      </c>
      <c r="G16">
        <f t="shared" si="2"/>
        <v>3483.2999999999997</v>
      </c>
      <c r="I16" s="4">
        <f>E16*'Data and assumptions'!$F$33</f>
        <v>13654.536000000002</v>
      </c>
      <c r="J16" s="4">
        <f>F16*'Data and assumptions'!$F$34</f>
        <v>2196.5280000000002</v>
      </c>
      <c r="K16" s="4">
        <f>G16*'Data and assumptions'!$F$35</f>
        <v>3483.2999999999997</v>
      </c>
      <c r="L16" s="4">
        <f t="shared" si="3"/>
        <v>19334.364</v>
      </c>
      <c r="N16" s="4">
        <f t="shared" si="4"/>
        <v>19334.364</v>
      </c>
      <c r="O16" s="4">
        <f t="shared" si="6"/>
        <v>16871.568</v>
      </c>
      <c r="P16" s="4">
        <f t="shared" si="5"/>
        <v>19334.364</v>
      </c>
      <c r="Q16" s="4">
        <f>IF('Data and assumptions'!$G$2=0,Constrained!N16,IF('Data and assumptions'!$G$2=1,Constrained!O16,Constrained!P16))</f>
        <v>19334.364</v>
      </c>
    </row>
    <row r="17" spans="2:17" ht="12.75">
      <c r="B17">
        <v>2019</v>
      </c>
      <c r="C17">
        <f>32114-27228</f>
        <v>4886</v>
      </c>
      <c r="E17">
        <f t="shared" si="0"/>
        <v>684.0400000000001</v>
      </c>
      <c r="F17">
        <f t="shared" si="1"/>
        <v>48.86</v>
      </c>
      <c r="G17">
        <f t="shared" si="2"/>
        <v>4153.099999999999</v>
      </c>
      <c r="I17" s="4">
        <f>E17*'Data and assumptions'!$F$33</f>
        <v>16280.152000000002</v>
      </c>
      <c r="J17" s="4">
        <f>F17*'Data and assumptions'!$F$34</f>
        <v>2618.896</v>
      </c>
      <c r="K17" s="4">
        <f>G17*'Data and assumptions'!$F$35</f>
        <v>4153.099999999999</v>
      </c>
      <c r="L17" s="4">
        <f t="shared" si="3"/>
        <v>23052.148</v>
      </c>
      <c r="N17" s="4">
        <f t="shared" si="4"/>
        <v>23052.148</v>
      </c>
      <c r="O17" s="4">
        <f t="shared" si="6"/>
        <v>20589.352</v>
      </c>
      <c r="P17" s="4">
        <f t="shared" si="5"/>
        <v>23052.148</v>
      </c>
      <c r="Q17" s="4">
        <f>IF('Data and assumptions'!$G$2=0,Constrained!N17,IF('Data and assumptions'!$G$2=1,Constrained!O17,Constrained!P17))</f>
        <v>23052.148</v>
      </c>
    </row>
    <row r="18" spans="2:17" ht="12.75">
      <c r="B18">
        <v>2020</v>
      </c>
      <c r="C18">
        <f>33176-27478</f>
        <v>5698</v>
      </c>
      <c r="E18">
        <f t="shared" si="0"/>
        <v>797.72</v>
      </c>
      <c r="F18">
        <f t="shared" si="1"/>
        <v>56.980000000000004</v>
      </c>
      <c r="G18">
        <f t="shared" si="2"/>
        <v>4843.3</v>
      </c>
      <c r="I18" s="4">
        <f>E18*'Data and assumptions'!$F$33</f>
        <v>18985.736</v>
      </c>
      <c r="J18" s="4">
        <f>F18*'Data and assumptions'!$F$34</f>
        <v>3054.128</v>
      </c>
      <c r="K18" s="4">
        <f>G18*'Data and assumptions'!$F$35</f>
        <v>4843.3</v>
      </c>
      <c r="L18" s="4">
        <f t="shared" si="3"/>
        <v>26883.164</v>
      </c>
      <c r="N18" s="4">
        <f t="shared" si="4"/>
        <v>26883.164</v>
      </c>
      <c r="O18" s="4">
        <f t="shared" si="6"/>
        <v>24420.368000000002</v>
      </c>
      <c r="P18" s="4">
        <f t="shared" si="5"/>
        <v>26883.164</v>
      </c>
      <c r="Q18" s="4">
        <f>IF('Data and assumptions'!$G$2=0,Constrained!N18,IF('Data and assumptions'!$G$2=1,Constrained!O18,Constrained!P18))</f>
        <v>26883.164</v>
      </c>
    </row>
    <row r="20" ht="12.75">
      <c r="N20" t="s">
        <v>76</v>
      </c>
    </row>
    <row r="21" ht="12.75">
      <c r="B21" t="s">
        <v>7</v>
      </c>
    </row>
    <row r="22" spans="2:3" ht="12.75">
      <c r="B22" t="s">
        <v>32</v>
      </c>
      <c r="C22" s="26">
        <f>'Data and assumptions'!D33</f>
        <v>0.14</v>
      </c>
    </row>
    <row r="23" spans="2:3" ht="12.75">
      <c r="B23" t="s">
        <v>8</v>
      </c>
      <c r="C23" s="26">
        <f>'Data and assumptions'!D34</f>
        <v>0.01</v>
      </c>
    </row>
    <row r="24" spans="2:3" ht="12.75">
      <c r="B24" t="s">
        <v>9</v>
      </c>
      <c r="C24" s="26">
        <f>1-C22-C23</f>
        <v>0.85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S20"/>
  <sheetViews>
    <sheetView workbookViewId="0" topLeftCell="C1">
      <selection activeCell="N15" sqref="N15"/>
    </sheetView>
  </sheetViews>
  <sheetFormatPr defaultColWidth="9.140625" defaultRowHeight="12.75"/>
  <cols>
    <col min="11" max="11" width="8.7109375" style="0" customWidth="1"/>
    <col min="12" max="12" width="9.8515625" style="0" customWidth="1"/>
  </cols>
  <sheetData>
    <row r="1" spans="9:10" ht="12.75">
      <c r="I1" t="s">
        <v>66</v>
      </c>
      <c r="J1" s="23">
        <f>'Key Assumptions'!D26</f>
        <v>0.8</v>
      </c>
    </row>
    <row r="2" spans="12:16" ht="12.75">
      <c r="L2" t="s">
        <v>67</v>
      </c>
      <c r="P2" t="s">
        <v>7</v>
      </c>
    </row>
    <row r="3" spans="3:19" ht="12.75">
      <c r="C3" t="s">
        <v>6</v>
      </c>
      <c r="D3" t="s">
        <v>1</v>
      </c>
      <c r="F3" t="s">
        <v>68</v>
      </c>
      <c r="I3" t="s">
        <v>69</v>
      </c>
      <c r="L3" s="12">
        <v>30</v>
      </c>
      <c r="M3" s="12">
        <v>40</v>
      </c>
      <c r="N3" s="12">
        <v>50</v>
      </c>
      <c r="P3" t="s">
        <v>75</v>
      </c>
      <c r="Q3" t="s">
        <v>72</v>
      </c>
      <c r="R3" t="s">
        <v>73</v>
      </c>
      <c r="S3" t="s">
        <v>77</v>
      </c>
    </row>
    <row r="4" spans="2:19" ht="12.75">
      <c r="B4">
        <v>2006</v>
      </c>
      <c r="C4">
        <v>20411</v>
      </c>
      <c r="D4">
        <v>0</v>
      </c>
      <c r="F4" s="1">
        <f>D4/C4</f>
        <v>0</v>
      </c>
      <c r="I4" s="1">
        <f>F4/$J$1</f>
        <v>0</v>
      </c>
      <c r="L4" s="4">
        <f>0.5*(C4-D4)*$L$3*I4</f>
        <v>0</v>
      </c>
      <c r="M4" s="4">
        <f>0.5*(C4-D4)*I4*$M$3</f>
        <v>0</v>
      </c>
      <c r="N4" s="4">
        <f>0.5*(C4-D4)*I4*$N$3</f>
        <v>0</v>
      </c>
      <c r="P4" s="4">
        <f>N4</f>
        <v>0</v>
      </c>
      <c r="Q4" s="4">
        <f>N4-P4</f>
        <v>0</v>
      </c>
      <c r="R4" s="4">
        <f>P4+Q4</f>
        <v>0</v>
      </c>
      <c r="S4">
        <f>IF('Data and assumptions'!$G$2=0,P4,IF('Data and assumptions'!$G$2=1,Q4,R4))</f>
        <v>0</v>
      </c>
    </row>
    <row r="5" spans="2:19" ht="12.75">
      <c r="B5">
        <v>2007</v>
      </c>
      <c r="C5">
        <v>21657</v>
      </c>
      <c r="D5">
        <v>0</v>
      </c>
      <c r="F5" s="1">
        <f aca="true" t="shared" si="0" ref="F5:F18">D5/C5</f>
        <v>0</v>
      </c>
      <c r="I5" s="1">
        <f aca="true" t="shared" si="1" ref="I5:I18">F5/$J$1</f>
        <v>0</v>
      </c>
      <c r="L5" s="4">
        <f>0.5*(C5-D5)*$L$3*I5</f>
        <v>0</v>
      </c>
      <c r="M5" s="4">
        <f>0.5*(C5-D5)*I5*$M$3</f>
        <v>0</v>
      </c>
      <c r="N5" s="4">
        <f>0.5*(C5-D5)*I5*$N$3</f>
        <v>0</v>
      </c>
      <c r="P5" s="4">
        <f>N5</f>
        <v>0</v>
      </c>
      <c r="Q5" s="4">
        <f>N5-P5</f>
        <v>0</v>
      </c>
      <c r="R5" s="4">
        <f>P5+Q5</f>
        <v>0</v>
      </c>
      <c r="S5">
        <f>IF('Data and assumptions'!$G$2=0,P5,IF('Data and assumptions'!$G$2=1,Q5,R5))</f>
        <v>0</v>
      </c>
    </row>
    <row r="6" spans="2:19" ht="12.75">
      <c r="B6">
        <v>2008</v>
      </c>
      <c r="C6">
        <v>22563</v>
      </c>
      <c r="D6">
        <v>0</v>
      </c>
      <c r="F6" s="1">
        <f t="shared" si="0"/>
        <v>0</v>
      </c>
      <c r="I6" s="1">
        <f t="shared" si="1"/>
        <v>0</v>
      </c>
      <c r="L6" s="4">
        <f>0.5*(C6-D6)*$L$3*I6</f>
        <v>0</v>
      </c>
      <c r="M6" s="4">
        <f>0.5*(C6-D6)*I6*$M$3</f>
        <v>0</v>
      </c>
      <c r="N6" s="4">
        <f>0.5*(C6-D6)*I6*$N$3</f>
        <v>0</v>
      </c>
      <c r="P6">
        <f>N6</f>
        <v>0</v>
      </c>
      <c r="Q6" s="4">
        <f>N6-P6</f>
        <v>0</v>
      </c>
      <c r="R6" s="4">
        <f>P6+Q6</f>
        <v>0</v>
      </c>
      <c r="S6">
        <f>IF('Data and assumptions'!$G$2=0,P6,IF('Data and assumptions'!$G$2=1,Q6,R6))</f>
        <v>0</v>
      </c>
    </row>
    <row r="7" spans="2:19" ht="12.75">
      <c r="B7">
        <v>2009</v>
      </c>
      <c r="C7">
        <v>23613</v>
      </c>
      <c r="D7">
        <v>372</v>
      </c>
      <c r="F7" s="1">
        <f t="shared" si="0"/>
        <v>0.015754033794943462</v>
      </c>
      <c r="I7" s="1">
        <f t="shared" si="1"/>
        <v>0.019692542243679327</v>
      </c>
      <c r="L7" s="4">
        <f>0.5*(D7)*$L$3*I7</f>
        <v>109.88438571973064</v>
      </c>
      <c r="M7" s="4">
        <f>0.5*(D7)*I7*$M$3</f>
        <v>146.5125142929742</v>
      </c>
      <c r="N7" s="4">
        <f>0.5*(D7)*I7*$N$3</f>
        <v>183.14064286621775</v>
      </c>
      <c r="P7">
        <f aca="true" t="shared" si="2" ref="P7:P18">N7</f>
        <v>183.14064286621775</v>
      </c>
      <c r="Q7" s="4">
        <f>N7-P7</f>
        <v>0</v>
      </c>
      <c r="R7" s="4">
        <f>P7</f>
        <v>183.14064286621775</v>
      </c>
      <c r="S7">
        <f>IF('Data and assumptions'!$G$2=0,P7,IF('Data and assumptions'!$G$2=1,Q7,R7))</f>
        <v>183.14064286621775</v>
      </c>
    </row>
    <row r="8" spans="2:19" ht="12.75">
      <c r="B8">
        <v>2010</v>
      </c>
      <c r="C8">
        <v>24717</v>
      </c>
      <c r="D8">
        <v>522</v>
      </c>
      <c r="F8" s="1">
        <f t="shared" si="0"/>
        <v>0.02111906784803981</v>
      </c>
      <c r="I8" s="1">
        <f t="shared" si="1"/>
        <v>0.026398834810049763</v>
      </c>
      <c r="L8" s="4">
        <f aca="true" t="shared" si="3" ref="L8:L18">0.5*(D8)*$L$3*I8</f>
        <v>206.70287656268965</v>
      </c>
      <c r="M8" s="4">
        <f aca="true" t="shared" si="4" ref="M8:M18">0.5*(D8)*I8*$M$3</f>
        <v>275.60383541691954</v>
      </c>
      <c r="N8" s="4">
        <f aca="true" t="shared" si="5" ref="N8:N18">0.5*(D8)*I8*$N$3</f>
        <v>344.5047942711494</v>
      </c>
      <c r="P8">
        <f t="shared" si="2"/>
        <v>344.5047942711494</v>
      </c>
      <c r="Q8" s="4">
        <f>N8-P8</f>
        <v>0</v>
      </c>
      <c r="R8" s="4">
        <f aca="true" t="shared" si="6" ref="R8:R18">P8</f>
        <v>344.5047942711494</v>
      </c>
      <c r="S8">
        <f>IF('Data and assumptions'!$G$2=0,P8,IF('Data and assumptions'!$G$2=1,Q8,R8))</f>
        <v>344.5047942711494</v>
      </c>
    </row>
    <row r="9" spans="2:19" ht="12.75">
      <c r="B9">
        <v>2011</v>
      </c>
      <c r="C9">
        <v>25823</v>
      </c>
      <c r="D9">
        <f>24396-23499</f>
        <v>897</v>
      </c>
      <c r="F9" s="1">
        <f t="shared" si="0"/>
        <v>0.034736475235255394</v>
      </c>
      <c r="I9" s="1">
        <f t="shared" si="1"/>
        <v>0.04342059404406924</v>
      </c>
      <c r="L9" s="4">
        <f t="shared" si="3"/>
        <v>584.2240928629517</v>
      </c>
      <c r="M9" s="4">
        <f t="shared" si="4"/>
        <v>778.9654571506021</v>
      </c>
      <c r="N9" s="4">
        <f t="shared" si="5"/>
        <v>973.7068214382526</v>
      </c>
      <c r="P9">
        <f t="shared" si="2"/>
        <v>973.7068214382526</v>
      </c>
      <c r="Q9" s="4">
        <f>N9-$N$8</f>
        <v>629.2020271671032</v>
      </c>
      <c r="R9" s="4">
        <f t="shared" si="6"/>
        <v>973.7068214382526</v>
      </c>
      <c r="S9">
        <f>IF('Data and assumptions'!$G$2=0,P9,IF('Data and assumptions'!$G$2=1,Q9,R9))</f>
        <v>973.7068214382526</v>
      </c>
    </row>
    <row r="10" spans="2:19" ht="12.75">
      <c r="B10">
        <v>2012</v>
      </c>
      <c r="C10">
        <v>26771</v>
      </c>
      <c r="D10">
        <f>25281-24337</f>
        <v>944</v>
      </c>
      <c r="F10" s="1">
        <f t="shared" si="0"/>
        <v>0.03526203727914534</v>
      </c>
      <c r="I10" s="1">
        <f t="shared" si="1"/>
        <v>0.04407754659893168</v>
      </c>
      <c r="L10" s="4">
        <f t="shared" si="3"/>
        <v>624.1380598408725</v>
      </c>
      <c r="M10" s="4">
        <f t="shared" si="4"/>
        <v>832.1840797878301</v>
      </c>
      <c r="N10" s="4">
        <f t="shared" si="5"/>
        <v>1040.2300997347875</v>
      </c>
      <c r="P10">
        <f t="shared" si="2"/>
        <v>1040.2300997347875</v>
      </c>
      <c r="Q10" s="4">
        <f aca="true" t="shared" si="7" ref="Q10:Q18">N10-$N$8</f>
        <v>695.725305463638</v>
      </c>
      <c r="R10" s="4">
        <f t="shared" si="6"/>
        <v>1040.2300997347875</v>
      </c>
      <c r="S10">
        <f>IF('Data and assumptions'!$G$2=0,P10,IF('Data and assumptions'!$G$2=1,Q10,R10))</f>
        <v>1040.2300997347875</v>
      </c>
    </row>
    <row r="11" spans="2:19" ht="12.75">
      <c r="B11">
        <v>2013</v>
      </c>
      <c r="C11">
        <v>27671</v>
      </c>
      <c r="D11">
        <f>26198-25194</f>
        <v>1004</v>
      </c>
      <c r="F11" s="1">
        <f t="shared" si="0"/>
        <v>0.03628347367279824</v>
      </c>
      <c r="I11" s="1">
        <f t="shared" si="1"/>
        <v>0.04535434209099779</v>
      </c>
      <c r="L11" s="4">
        <f t="shared" si="3"/>
        <v>683.0363918904268</v>
      </c>
      <c r="M11" s="4">
        <f t="shared" si="4"/>
        <v>910.7151891872356</v>
      </c>
      <c r="N11" s="4">
        <f t="shared" si="5"/>
        <v>1138.3939864840447</v>
      </c>
      <c r="P11">
        <f t="shared" si="2"/>
        <v>1138.3939864840447</v>
      </c>
      <c r="Q11" s="4">
        <f t="shared" si="7"/>
        <v>793.8891922128953</v>
      </c>
      <c r="R11" s="4">
        <f t="shared" si="6"/>
        <v>1138.3939864840447</v>
      </c>
      <c r="S11">
        <f>IF('Data and assumptions'!$G$2=0,P11,IF('Data and assumptions'!$G$2=1,Q11,R11))</f>
        <v>1138.3939864840447</v>
      </c>
    </row>
    <row r="12" spans="2:19" ht="12.75">
      <c r="B12">
        <v>2014</v>
      </c>
      <c r="C12">
        <v>28539</v>
      </c>
      <c r="D12">
        <f>27150-25979</f>
        <v>1171</v>
      </c>
      <c r="F12" s="1">
        <f t="shared" si="0"/>
        <v>0.04103157083289534</v>
      </c>
      <c r="I12" s="1">
        <f t="shared" si="1"/>
        <v>0.05128946354111917</v>
      </c>
      <c r="L12" s="4">
        <f t="shared" si="3"/>
        <v>900.8994270997582</v>
      </c>
      <c r="M12" s="4">
        <f t="shared" si="4"/>
        <v>1201.199236133011</v>
      </c>
      <c r="N12" s="4">
        <f t="shared" si="5"/>
        <v>1501.4990451662636</v>
      </c>
      <c r="P12">
        <f t="shared" si="2"/>
        <v>1501.4990451662636</v>
      </c>
      <c r="Q12" s="4">
        <f t="shared" si="7"/>
        <v>1156.9942508951142</v>
      </c>
      <c r="R12" s="4">
        <f t="shared" si="6"/>
        <v>1501.4990451662636</v>
      </c>
      <c r="S12">
        <f>IF('Data and assumptions'!$G$2=0,P12,IF('Data and assumptions'!$G$2=1,Q12,R12))</f>
        <v>1501.4990451662636</v>
      </c>
    </row>
    <row r="13" spans="2:19" ht="12.75">
      <c r="B13">
        <v>2015</v>
      </c>
      <c r="C13">
        <v>29395</v>
      </c>
      <c r="D13">
        <f>28137-26252</f>
        <v>1885</v>
      </c>
      <c r="F13" s="1">
        <f t="shared" si="0"/>
        <v>0.06412655213471678</v>
      </c>
      <c r="I13" s="1">
        <f t="shared" si="1"/>
        <v>0.08015819016839597</v>
      </c>
      <c r="L13" s="4">
        <f t="shared" si="3"/>
        <v>2266.472827011396</v>
      </c>
      <c r="M13" s="4">
        <f t="shared" si="4"/>
        <v>3021.9637693485283</v>
      </c>
      <c r="N13" s="4">
        <f t="shared" si="5"/>
        <v>3777.45471168566</v>
      </c>
      <c r="P13">
        <f t="shared" si="2"/>
        <v>3777.45471168566</v>
      </c>
      <c r="Q13" s="4">
        <f t="shared" si="7"/>
        <v>3432.9499174145108</v>
      </c>
      <c r="R13" s="4">
        <f t="shared" si="6"/>
        <v>3777.45471168566</v>
      </c>
      <c r="S13">
        <f>IF('Data and assumptions'!$G$2=0,P13,IF('Data and assumptions'!$G$2=1,Q13,R13))</f>
        <v>3777.45471168566</v>
      </c>
    </row>
    <row r="14" spans="2:19" ht="12.75">
      <c r="B14">
        <v>2016</v>
      </c>
      <c r="C14">
        <v>30500</v>
      </c>
      <c r="D14">
        <f>29110-26497</f>
        <v>2613</v>
      </c>
      <c r="F14" s="1">
        <f t="shared" si="0"/>
        <v>0.08567213114754098</v>
      </c>
      <c r="I14" s="1">
        <f t="shared" si="1"/>
        <v>0.10709016393442622</v>
      </c>
      <c r="L14" s="4">
        <f t="shared" si="3"/>
        <v>4197.398975409836</v>
      </c>
      <c r="M14" s="4">
        <f t="shared" si="4"/>
        <v>5596.5319672131145</v>
      </c>
      <c r="N14" s="4">
        <f t="shared" si="5"/>
        <v>6995.664959016393</v>
      </c>
      <c r="P14">
        <f t="shared" si="2"/>
        <v>6995.664959016393</v>
      </c>
      <c r="Q14" s="4">
        <f t="shared" si="7"/>
        <v>6651.160164745244</v>
      </c>
      <c r="R14" s="4">
        <f t="shared" si="6"/>
        <v>6995.664959016393</v>
      </c>
      <c r="S14">
        <f>IF('Data and assumptions'!$G$2=0,P14,IF('Data and assumptions'!$G$2=1,Q14,R14))</f>
        <v>6995.664959016393</v>
      </c>
    </row>
    <row r="15" spans="2:19" ht="12.75">
      <c r="B15">
        <v>2017</v>
      </c>
      <c r="C15">
        <v>31500</v>
      </c>
      <c r="D15">
        <f>30078-26738</f>
        <v>3340</v>
      </c>
      <c r="F15" s="1">
        <f t="shared" si="0"/>
        <v>0.10603174603174603</v>
      </c>
      <c r="I15" s="1">
        <f t="shared" si="1"/>
        <v>0.13253968253968254</v>
      </c>
      <c r="L15" s="4">
        <f t="shared" si="3"/>
        <v>6640.238095238095</v>
      </c>
      <c r="M15" s="4">
        <f t="shared" si="4"/>
        <v>8853.650793650793</v>
      </c>
      <c r="N15" s="4">
        <f t="shared" si="5"/>
        <v>11067.063492063493</v>
      </c>
      <c r="P15">
        <f t="shared" si="2"/>
        <v>11067.063492063493</v>
      </c>
      <c r="Q15" s="4">
        <f t="shared" si="7"/>
        <v>10722.558697792343</v>
      </c>
      <c r="R15" s="4">
        <f t="shared" si="6"/>
        <v>11067.063492063493</v>
      </c>
      <c r="S15">
        <f>IF('Data and assumptions'!$G$2=0,P15,IF('Data and assumptions'!$G$2=1,Q15,R15))</f>
        <v>11067.063492063493</v>
      </c>
    </row>
    <row r="16" spans="2:19" ht="12.75">
      <c r="B16">
        <v>2018</v>
      </c>
      <c r="C16">
        <v>32500</v>
      </c>
      <c r="D16">
        <f>31079-26981</f>
        <v>4098</v>
      </c>
      <c r="F16" s="1">
        <f t="shared" si="0"/>
        <v>0.1260923076923077</v>
      </c>
      <c r="I16" s="1">
        <f t="shared" si="1"/>
        <v>0.1576153846153846</v>
      </c>
      <c r="L16" s="4">
        <f t="shared" si="3"/>
        <v>9688.617692307691</v>
      </c>
      <c r="M16" s="4">
        <f t="shared" si="4"/>
        <v>12918.156923076922</v>
      </c>
      <c r="N16" s="4">
        <f t="shared" si="5"/>
        <v>16147.696153846153</v>
      </c>
      <c r="P16">
        <f t="shared" si="2"/>
        <v>16147.696153846153</v>
      </c>
      <c r="Q16" s="4">
        <f t="shared" si="7"/>
        <v>15803.191359575003</v>
      </c>
      <c r="R16" s="4">
        <f t="shared" si="6"/>
        <v>16147.696153846153</v>
      </c>
      <c r="S16">
        <f>IF('Data and assumptions'!$G$2=0,P16,IF('Data and assumptions'!$G$2=1,Q16,R16))</f>
        <v>16147.696153846153</v>
      </c>
    </row>
    <row r="17" spans="2:19" ht="12.75">
      <c r="B17">
        <v>2019</v>
      </c>
      <c r="C17">
        <v>33500</v>
      </c>
      <c r="D17">
        <f>32114-27228</f>
        <v>4886</v>
      </c>
      <c r="F17" s="1">
        <f t="shared" si="0"/>
        <v>0.1458507462686567</v>
      </c>
      <c r="I17" s="1">
        <f t="shared" si="1"/>
        <v>0.18231343283582088</v>
      </c>
      <c r="L17" s="4">
        <f t="shared" si="3"/>
        <v>13361.751492537313</v>
      </c>
      <c r="M17" s="4">
        <f t="shared" si="4"/>
        <v>17815.668656716414</v>
      </c>
      <c r="N17" s="4">
        <f t="shared" si="5"/>
        <v>22269.58582089552</v>
      </c>
      <c r="P17">
        <f t="shared" si="2"/>
        <v>22269.58582089552</v>
      </c>
      <c r="Q17" s="4">
        <f t="shared" si="7"/>
        <v>21925.08102662437</v>
      </c>
      <c r="R17" s="4">
        <f t="shared" si="6"/>
        <v>22269.58582089552</v>
      </c>
      <c r="S17">
        <f>IF('Data and assumptions'!$G$2=0,P17,IF('Data and assumptions'!$G$2=1,Q17,R17))</f>
        <v>22269.58582089552</v>
      </c>
    </row>
    <row r="18" spans="2:19" ht="12.75">
      <c r="B18">
        <v>2020</v>
      </c>
      <c r="C18">
        <v>34500</v>
      </c>
      <c r="D18">
        <f>33176-27478</f>
        <v>5698</v>
      </c>
      <c r="F18" s="1">
        <f t="shared" si="0"/>
        <v>0.16515942028985509</v>
      </c>
      <c r="I18" s="1">
        <f t="shared" si="1"/>
        <v>0.20644927536231886</v>
      </c>
      <c r="L18" s="4">
        <f t="shared" si="3"/>
        <v>17645.219565217394</v>
      </c>
      <c r="M18" s="4">
        <f t="shared" si="4"/>
        <v>23526.95942028986</v>
      </c>
      <c r="N18" s="4">
        <f t="shared" si="5"/>
        <v>29408.699275362324</v>
      </c>
      <c r="P18">
        <f t="shared" si="2"/>
        <v>29408.699275362324</v>
      </c>
      <c r="Q18" s="4">
        <f t="shared" si="7"/>
        <v>29064.194481091174</v>
      </c>
      <c r="R18" s="4">
        <f t="shared" si="6"/>
        <v>29408.699275362324</v>
      </c>
      <c r="S18">
        <f>IF('Data and assumptions'!$G$2=0,P18,IF('Data and assumptions'!$G$2=1,Q18,R18))</f>
        <v>29408.699275362324</v>
      </c>
    </row>
    <row r="20" ht="12.75">
      <c r="P20" t="s">
        <v>76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M6" sqref="M6"/>
    </sheetView>
  </sheetViews>
  <sheetFormatPr defaultColWidth="9.140625" defaultRowHeight="12.75"/>
  <sheetData>
    <row r="1" ht="12.75">
      <c r="A1" t="s">
        <v>33</v>
      </c>
    </row>
    <row r="2" spans="3:13" ht="12.75">
      <c r="C2" t="s">
        <v>61</v>
      </c>
      <c r="D2" t="s">
        <v>35</v>
      </c>
      <c r="E2" t="s">
        <v>26</v>
      </c>
      <c r="H2" t="s">
        <v>34</v>
      </c>
      <c r="I2" t="s">
        <v>79</v>
      </c>
      <c r="J2" t="s">
        <v>35</v>
      </c>
      <c r="K2" t="s">
        <v>26</v>
      </c>
      <c r="M2" t="s">
        <v>36</v>
      </c>
    </row>
    <row r="3" spans="2:13" ht="12.75">
      <c r="B3">
        <v>2006</v>
      </c>
      <c r="C3">
        <v>0</v>
      </c>
      <c r="D3">
        <v>0</v>
      </c>
      <c r="E3">
        <f aca="true" t="shared" si="0" ref="E3:E17">SUM(C3:D3)</f>
        <v>0</v>
      </c>
      <c r="G3">
        <v>2006</v>
      </c>
      <c r="H3">
        <v>0</v>
      </c>
      <c r="I3">
        <v>0</v>
      </c>
      <c r="J3">
        <v>0</v>
      </c>
      <c r="K3">
        <f aca="true" t="shared" si="1" ref="K3:K17">SUM(H3:J3)</f>
        <v>0</v>
      </c>
      <c r="M3" s="4">
        <f>IF('Data and assumptions'!$D$66=0,Costs!K3,Costs!E3)</f>
        <v>0</v>
      </c>
    </row>
    <row r="4" spans="2:13" ht="12.75">
      <c r="B4">
        <v>2007</v>
      </c>
      <c r="C4">
        <v>0</v>
      </c>
      <c r="D4">
        <v>0</v>
      </c>
      <c r="E4">
        <f t="shared" si="0"/>
        <v>0</v>
      </c>
      <c r="G4">
        <v>2007</v>
      </c>
      <c r="H4">
        <v>0</v>
      </c>
      <c r="I4">
        <v>0</v>
      </c>
      <c r="J4">
        <v>0</v>
      </c>
      <c r="K4">
        <f t="shared" si="1"/>
        <v>0</v>
      </c>
      <c r="M4" s="4">
        <f>IF('Data and assumptions'!$D$66=0,Costs!K4,Costs!E4)</f>
        <v>0</v>
      </c>
    </row>
    <row r="5" spans="2:13" ht="12.75">
      <c r="B5">
        <v>2008</v>
      </c>
      <c r="C5">
        <v>0</v>
      </c>
      <c r="D5">
        <v>0</v>
      </c>
      <c r="E5">
        <f t="shared" si="0"/>
        <v>0</v>
      </c>
      <c r="G5">
        <v>2008</v>
      </c>
      <c r="H5">
        <v>0</v>
      </c>
      <c r="I5">
        <v>0</v>
      </c>
      <c r="J5">
        <v>0</v>
      </c>
      <c r="K5">
        <f t="shared" si="1"/>
        <v>0</v>
      </c>
      <c r="M5" s="4">
        <f>IF('Data and assumptions'!$D$66=0,Costs!K5,Costs!E5)</f>
        <v>0</v>
      </c>
    </row>
    <row r="6" spans="2:13" ht="12.75">
      <c r="B6">
        <v>2009</v>
      </c>
      <c r="C6" s="4">
        <f>$B$20</f>
        <v>74.66906204028824</v>
      </c>
      <c r="D6" s="4">
        <f>'Data and assumptions'!$D$60*'Data and assumptions'!$D$64</f>
        <v>95.10000000000001</v>
      </c>
      <c r="E6" s="4">
        <f t="shared" si="0"/>
        <v>169.76906204028825</v>
      </c>
      <c r="G6">
        <v>2009</v>
      </c>
      <c r="H6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6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6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6" s="4">
        <f t="shared" si="1"/>
        <v>189.24900000000002</v>
      </c>
      <c r="M6" s="4">
        <f>IF('Data and assumptions'!$D$66=0,Costs!K6,Costs!E6)</f>
        <v>189.24900000000002</v>
      </c>
    </row>
    <row r="7" spans="2:13" ht="12.75">
      <c r="B7">
        <v>2010</v>
      </c>
      <c r="C7" s="4">
        <f aca="true" t="shared" si="2" ref="C7:C17">$B$20</f>
        <v>74.66906204028824</v>
      </c>
      <c r="D7" s="4">
        <f>'Data and assumptions'!$D$60*'Data and assumptions'!$D$64</f>
        <v>95.10000000000001</v>
      </c>
      <c r="E7" s="4">
        <f t="shared" si="0"/>
        <v>169.76906204028825</v>
      </c>
      <c r="G7">
        <v>2010</v>
      </c>
      <c r="H7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7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7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7" s="4">
        <f t="shared" si="1"/>
        <v>189.24900000000002</v>
      </c>
      <c r="M7" s="4">
        <f>IF('Data and assumptions'!$D$66=0,Costs!K7,Costs!E7)</f>
        <v>189.24900000000002</v>
      </c>
    </row>
    <row r="8" spans="2:13" ht="12.75">
      <c r="B8">
        <v>2011</v>
      </c>
      <c r="C8" s="4">
        <f t="shared" si="2"/>
        <v>74.66906204028824</v>
      </c>
      <c r="D8" s="4">
        <f>'Data and assumptions'!$D$60*'Data and assumptions'!$D$64</f>
        <v>95.10000000000001</v>
      </c>
      <c r="E8" s="4">
        <f t="shared" si="0"/>
        <v>169.76906204028825</v>
      </c>
      <c r="G8">
        <v>2011</v>
      </c>
      <c r="H8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8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8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8" s="4">
        <f t="shared" si="1"/>
        <v>189.24900000000002</v>
      </c>
      <c r="M8" s="4">
        <f>IF('Data and assumptions'!$D$66=0,Costs!K8,Costs!E8)</f>
        <v>189.24900000000002</v>
      </c>
    </row>
    <row r="9" spans="2:13" ht="12.75">
      <c r="B9">
        <v>2012</v>
      </c>
      <c r="C9" s="4">
        <f t="shared" si="2"/>
        <v>74.66906204028824</v>
      </c>
      <c r="D9" s="4">
        <f>'Data and assumptions'!$D$60*'Data and assumptions'!$D$64</f>
        <v>95.10000000000001</v>
      </c>
      <c r="E9" s="4">
        <f t="shared" si="0"/>
        <v>169.76906204028825</v>
      </c>
      <c r="G9">
        <v>2012</v>
      </c>
      <c r="H9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9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9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9" s="4">
        <f t="shared" si="1"/>
        <v>189.24900000000002</v>
      </c>
      <c r="M9" s="4">
        <f>IF('Data and assumptions'!$D$66=0,Costs!K9,Costs!E9)</f>
        <v>189.24900000000002</v>
      </c>
    </row>
    <row r="10" spans="2:13" ht="12.75">
      <c r="B10">
        <v>2013</v>
      </c>
      <c r="C10" s="4">
        <f t="shared" si="2"/>
        <v>74.66906204028824</v>
      </c>
      <c r="D10" s="4">
        <f>'Data and assumptions'!$D$60*'Data and assumptions'!$D$64</f>
        <v>95.10000000000001</v>
      </c>
      <c r="E10" s="4">
        <f t="shared" si="0"/>
        <v>169.76906204028825</v>
      </c>
      <c r="G10">
        <v>2013</v>
      </c>
      <c r="H10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0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0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0" s="4">
        <f t="shared" si="1"/>
        <v>189.24900000000002</v>
      </c>
      <c r="M10" s="4">
        <f>IF('Data and assumptions'!$D$66=0,Costs!K10,Costs!E10)</f>
        <v>189.24900000000002</v>
      </c>
    </row>
    <row r="11" spans="2:13" ht="12.75">
      <c r="B11">
        <v>2014</v>
      </c>
      <c r="C11" s="4">
        <f t="shared" si="2"/>
        <v>74.66906204028824</v>
      </c>
      <c r="D11" s="4">
        <f>'Data and assumptions'!$D$60*'Data and assumptions'!$D$64</f>
        <v>95.10000000000001</v>
      </c>
      <c r="E11" s="4">
        <f t="shared" si="0"/>
        <v>169.76906204028825</v>
      </c>
      <c r="G11">
        <v>2014</v>
      </c>
      <c r="H11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1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1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1" s="4">
        <f t="shared" si="1"/>
        <v>189.24900000000002</v>
      </c>
      <c r="M11" s="4">
        <f>IF('Data and assumptions'!$D$66=0,Costs!K11,Costs!E11)</f>
        <v>189.24900000000002</v>
      </c>
    </row>
    <row r="12" spans="2:13" ht="12.75">
      <c r="B12">
        <v>2015</v>
      </c>
      <c r="C12" s="4">
        <f t="shared" si="2"/>
        <v>74.66906204028824</v>
      </c>
      <c r="D12" s="4">
        <f>'Data and assumptions'!$D$60*'Data and assumptions'!$D$64</f>
        <v>95.10000000000001</v>
      </c>
      <c r="E12" s="4">
        <f t="shared" si="0"/>
        <v>169.76906204028825</v>
      </c>
      <c r="G12">
        <v>2015</v>
      </c>
      <c r="H12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2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2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2" s="4">
        <f t="shared" si="1"/>
        <v>189.24900000000002</v>
      </c>
      <c r="M12" s="4">
        <f>IF('Data and assumptions'!$D$66=0,Costs!K12,Costs!E12)</f>
        <v>189.24900000000002</v>
      </c>
    </row>
    <row r="13" spans="2:13" ht="12.75">
      <c r="B13">
        <v>2016</v>
      </c>
      <c r="C13" s="4">
        <f t="shared" si="2"/>
        <v>74.66906204028824</v>
      </c>
      <c r="D13" s="4">
        <f>'Data and assumptions'!$D$60*'Data and assumptions'!$D$64</f>
        <v>95.10000000000001</v>
      </c>
      <c r="E13" s="4">
        <f t="shared" si="0"/>
        <v>169.76906204028825</v>
      </c>
      <c r="G13">
        <v>2016</v>
      </c>
      <c r="H13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3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3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3" s="4">
        <f t="shared" si="1"/>
        <v>189.24900000000002</v>
      </c>
      <c r="M13" s="4">
        <f>IF('Data and assumptions'!$D$66=0,Costs!K13,Costs!E13)</f>
        <v>189.24900000000002</v>
      </c>
    </row>
    <row r="14" spans="2:13" ht="12.75">
      <c r="B14">
        <v>2017</v>
      </c>
      <c r="C14" s="4">
        <f t="shared" si="2"/>
        <v>74.66906204028824</v>
      </c>
      <c r="D14" s="4">
        <f>'Data and assumptions'!$D$60*'Data and assumptions'!$D$64</f>
        <v>95.10000000000001</v>
      </c>
      <c r="E14" s="4">
        <f t="shared" si="0"/>
        <v>169.76906204028825</v>
      </c>
      <c r="G14">
        <v>2017</v>
      </c>
      <c r="H14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4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4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4" s="4">
        <f t="shared" si="1"/>
        <v>189.24900000000002</v>
      </c>
      <c r="M14" s="4">
        <f>IF('Data and assumptions'!$D$66=0,Costs!K14,Costs!E14)</f>
        <v>189.24900000000002</v>
      </c>
    </row>
    <row r="15" spans="2:13" ht="12.75">
      <c r="B15">
        <v>2018</v>
      </c>
      <c r="C15" s="4">
        <f t="shared" si="2"/>
        <v>74.66906204028824</v>
      </c>
      <c r="D15" s="4">
        <f>'Data and assumptions'!$D$60*'Data and assumptions'!$D$64</f>
        <v>95.10000000000001</v>
      </c>
      <c r="E15" s="4">
        <f t="shared" si="0"/>
        <v>169.76906204028825</v>
      </c>
      <c r="G15">
        <v>2018</v>
      </c>
      <c r="H15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5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5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5" s="4">
        <f t="shared" si="1"/>
        <v>189.24900000000002</v>
      </c>
      <c r="M15" s="4">
        <f>IF('Data and assumptions'!$D$66=0,Costs!K15,Costs!E15)</f>
        <v>189.24900000000002</v>
      </c>
    </row>
    <row r="16" spans="2:13" ht="12.75">
      <c r="B16">
        <v>2019</v>
      </c>
      <c r="C16" s="4">
        <f t="shared" si="2"/>
        <v>74.66906204028824</v>
      </c>
      <c r="D16" s="4">
        <f>'Data and assumptions'!$D$60*'Data and assumptions'!$D$64</f>
        <v>95.10000000000001</v>
      </c>
      <c r="E16" s="4">
        <f t="shared" si="0"/>
        <v>169.76906204028825</v>
      </c>
      <c r="G16">
        <v>2019</v>
      </c>
      <c r="H16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6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6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6" s="4">
        <f t="shared" si="1"/>
        <v>189.24900000000002</v>
      </c>
      <c r="M16" s="4">
        <f>IF('Data and assumptions'!$D$66=0,Costs!K16,Costs!E16)</f>
        <v>189.24900000000002</v>
      </c>
    </row>
    <row r="17" spans="2:13" ht="12.75">
      <c r="B17">
        <v>2020</v>
      </c>
      <c r="C17" s="4">
        <f t="shared" si="2"/>
        <v>74.66906204028824</v>
      </c>
      <c r="D17" s="4">
        <f>'Data and assumptions'!$D$60*'Data and assumptions'!$D$64</f>
        <v>95.10000000000001</v>
      </c>
      <c r="E17" s="4">
        <f t="shared" si="0"/>
        <v>169.76906204028825</v>
      </c>
      <c r="G17">
        <v>2020</v>
      </c>
      <c r="H17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7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7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7" s="4">
        <f t="shared" si="1"/>
        <v>189.24900000000002</v>
      </c>
      <c r="M17" s="4">
        <f>IF('Data and assumptions'!$D$66=0,Costs!K17,Costs!E17)</f>
        <v>189.24900000000002</v>
      </c>
    </row>
    <row r="20" ht="12.75">
      <c r="B20" s="11">
        <f>-PMT('Data and assumptions'!D62,40,'Data and assumptions'!D60)</f>
        <v>74.66906204028824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2006-11-02T16:01:08Z</dcterms:created>
  <dcterms:modified xsi:type="dcterms:W3CDTF">2007-03-02T15:18:34Z</dcterms:modified>
  <cp:category/>
  <cp:version/>
  <cp:contentType/>
  <cp:contentStatus/>
</cp:coreProperties>
</file>